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sp\Desktop\"/>
    </mc:Choice>
  </mc:AlternateContent>
  <xr:revisionPtr revIDLastSave="0" documentId="13_ncr:1_{F48CC9E7-C70B-4C83-B42F-48AAA4B9FE44}" xr6:coauthVersionLast="47" xr6:coauthVersionMax="47" xr10:uidLastSave="{00000000-0000-0000-0000-000000000000}"/>
  <bookViews>
    <workbookView xWindow="40" yWindow="70" windowWidth="18350" windowHeight="12390" activeTab="1" xr2:uid="{00000000-000D-0000-FFFF-FFFF00000000}"/>
  </bookViews>
  <sheets>
    <sheet name="总成绩" sheetId="11" r:id="rId1"/>
    <sheet name="总成绩 -curved" sheetId="12" r:id="rId2"/>
  </sheets>
  <definedNames>
    <definedName name="_xlnm.Print_Area" localSheetId="0">总成绩!$A$1:$H$38</definedName>
    <definedName name="_xlnm.Print_Area" localSheetId="1">'总成绩 -curved'!$A$1:$H$38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" i="12" l="1"/>
  <c r="G4" i="12"/>
  <c r="G5" i="12"/>
  <c r="G6" i="12"/>
  <c r="G7" i="12"/>
  <c r="G8" i="12"/>
  <c r="G9" i="12"/>
  <c r="G10" i="12"/>
  <c r="G11" i="12"/>
  <c r="G12" i="12"/>
  <c r="G13" i="12"/>
  <c r="G14" i="12"/>
  <c r="G15" i="12"/>
  <c r="G16" i="12"/>
  <c r="G17" i="12"/>
  <c r="G18" i="12"/>
  <c r="G19" i="12"/>
  <c r="G20" i="12"/>
  <c r="G21" i="12"/>
  <c r="G22" i="12"/>
  <c r="G23" i="12"/>
  <c r="G24" i="12"/>
  <c r="G25" i="12"/>
  <c r="G26" i="12"/>
  <c r="G27" i="12"/>
  <c r="G28" i="12"/>
  <c r="G29" i="12"/>
  <c r="G30" i="12"/>
  <c r="G31" i="12"/>
  <c r="G32" i="12"/>
  <c r="G33" i="12"/>
  <c r="G34" i="12"/>
  <c r="G35" i="12"/>
  <c r="G36" i="12"/>
  <c r="G37" i="12"/>
  <c r="G38" i="12"/>
  <c r="G2" i="12"/>
  <c r="F3" i="12"/>
  <c r="F4" i="12"/>
  <c r="F5" i="12"/>
  <c r="F6" i="12"/>
  <c r="F7" i="12"/>
  <c r="F8" i="12"/>
  <c r="F9" i="12"/>
  <c r="F10" i="12"/>
  <c r="F11" i="12"/>
  <c r="F12" i="12"/>
  <c r="F13" i="12"/>
  <c r="F14" i="12"/>
  <c r="F15" i="12"/>
  <c r="F16" i="12"/>
  <c r="F17" i="12"/>
  <c r="F18" i="12"/>
  <c r="F19" i="12"/>
  <c r="F20" i="12"/>
  <c r="F21" i="12"/>
  <c r="F22" i="12"/>
  <c r="F23" i="12"/>
  <c r="F24" i="12"/>
  <c r="F25" i="12"/>
  <c r="F26" i="12"/>
  <c r="F27" i="12"/>
  <c r="F28" i="12"/>
  <c r="F29" i="12"/>
  <c r="F30" i="12"/>
  <c r="F31" i="12"/>
  <c r="F32" i="12"/>
  <c r="F33" i="12"/>
  <c r="F34" i="12"/>
  <c r="F35" i="12"/>
  <c r="F36" i="12"/>
  <c r="F37" i="12"/>
  <c r="F38" i="12"/>
  <c r="F2" i="12"/>
  <c r="E3" i="12"/>
  <c r="E4" i="12"/>
  <c r="E5" i="12"/>
  <c r="E6" i="12"/>
  <c r="E7" i="12"/>
  <c r="E8" i="12"/>
  <c r="E9" i="12"/>
  <c r="E10" i="12"/>
  <c r="E11" i="12"/>
  <c r="E12" i="12"/>
  <c r="E13" i="12"/>
  <c r="E14" i="12"/>
  <c r="E15" i="12"/>
  <c r="E16" i="12"/>
  <c r="E17" i="12"/>
  <c r="E18" i="12"/>
  <c r="E19" i="12"/>
  <c r="E20" i="12"/>
  <c r="E21" i="12"/>
  <c r="E22" i="12"/>
  <c r="E23" i="12"/>
  <c r="E24" i="12"/>
  <c r="E25" i="12"/>
  <c r="E26" i="12"/>
  <c r="E27" i="12"/>
  <c r="E28" i="12"/>
  <c r="E29" i="12"/>
  <c r="E30" i="12"/>
  <c r="E31" i="12"/>
  <c r="E32" i="12"/>
  <c r="E33" i="12"/>
  <c r="E34" i="12"/>
  <c r="E35" i="12"/>
  <c r="E36" i="12"/>
  <c r="E37" i="12"/>
  <c r="E38" i="12"/>
  <c r="E2" i="12"/>
  <c r="D43" i="11"/>
  <c r="D43" i="12" s="1"/>
  <c r="D40" i="11"/>
  <c r="D40" i="12" s="1"/>
  <c r="N1" i="12"/>
  <c r="N1" i="11" l="1"/>
  <c r="H10" i="11" l="1"/>
  <c r="D41" i="11"/>
  <c r="D41" i="12" s="1"/>
  <c r="D44" i="11"/>
  <c r="D44" i="12" s="1"/>
  <c r="D45" i="11"/>
  <c r="D45" i="12" s="1"/>
  <c r="D42" i="11"/>
  <c r="D42" i="12" s="1"/>
  <c r="D50" i="12" l="1"/>
  <c r="D48" i="12"/>
  <c r="D52" i="12" s="1"/>
  <c r="D19" i="12" l="1"/>
  <c r="D38" i="12"/>
  <c r="H38" i="12" s="1"/>
  <c r="D20" i="12"/>
  <c r="D21" i="12"/>
  <c r="H21" i="12" s="1"/>
  <c r="D51" i="12"/>
  <c r="D5" i="12" s="1"/>
  <c r="H5" i="12" s="1"/>
  <c r="D36" i="12"/>
  <c r="H36" i="12" s="1"/>
  <c r="D11" i="12"/>
  <c r="H11" i="12" s="1"/>
  <c r="D14" i="12"/>
  <c r="H14" i="12" s="1"/>
  <c r="D16" i="12"/>
  <c r="H16" i="12" s="1"/>
  <c r="H15" i="11"/>
  <c r="H24" i="11"/>
  <c r="H17" i="11"/>
  <c r="H25" i="11"/>
  <c r="H33" i="11"/>
  <c r="H32" i="11"/>
  <c r="H18" i="11"/>
  <c r="H26" i="11"/>
  <c r="H34" i="11"/>
  <c r="H23" i="11"/>
  <c r="H16" i="11"/>
  <c r="H27" i="11"/>
  <c r="H12" i="11"/>
  <c r="H20" i="11"/>
  <c r="H28" i="11"/>
  <c r="H36" i="11"/>
  <c r="H19" i="12"/>
  <c r="H19" i="11"/>
  <c r="H13" i="11"/>
  <c r="H21" i="11"/>
  <c r="H29" i="11"/>
  <c r="H37" i="11"/>
  <c r="H11" i="11"/>
  <c r="H35" i="11"/>
  <c r="H14" i="11"/>
  <c r="H22" i="11"/>
  <c r="H30" i="11"/>
  <c r="H38" i="11"/>
  <c r="H7" i="11"/>
  <c r="H8" i="11"/>
  <c r="H9" i="11"/>
  <c r="H3" i="11"/>
  <c r="H6" i="11"/>
  <c r="H5" i="11"/>
  <c r="H2" i="11"/>
  <c r="H31" i="11"/>
  <c r="D31" i="12" l="1"/>
  <c r="H31" i="12" s="1"/>
  <c r="D24" i="12"/>
  <c r="H24" i="12" s="1"/>
  <c r="D18" i="12"/>
  <c r="H18" i="12" s="1"/>
  <c r="D10" i="12"/>
  <c r="D23" i="12"/>
  <c r="H23" i="12" s="1"/>
  <c r="D27" i="12"/>
  <c r="H27" i="12" s="1"/>
  <c r="D25" i="12"/>
  <c r="H25" i="12" s="1"/>
  <c r="D22" i="12"/>
  <c r="H22" i="12" s="1"/>
  <c r="D17" i="12"/>
  <c r="H17" i="12" s="1"/>
  <c r="D4" i="12"/>
  <c r="H4" i="12" s="1"/>
  <c r="D34" i="12"/>
  <c r="H34" i="12" s="1"/>
  <c r="D29" i="12"/>
  <c r="H29" i="12" s="1"/>
  <c r="D37" i="12"/>
  <c r="H37" i="12" s="1"/>
  <c r="D12" i="12"/>
  <c r="H12" i="12" s="1"/>
  <c r="D3" i="12"/>
  <c r="H3" i="12" s="1"/>
  <c r="D9" i="12"/>
  <c r="H9" i="12" s="1"/>
  <c r="D35" i="12"/>
  <c r="H35" i="12" s="1"/>
  <c r="D28" i="12"/>
  <c r="H28" i="12" s="1"/>
  <c r="D6" i="12"/>
  <c r="H6" i="12" s="1"/>
  <c r="D26" i="12"/>
  <c r="H26" i="12" s="1"/>
  <c r="D2" i="12"/>
  <c r="D32" i="12"/>
  <c r="H32" i="12" s="1"/>
  <c r="D13" i="12"/>
  <c r="H13" i="12" s="1"/>
  <c r="D33" i="12"/>
  <c r="H33" i="12" s="1"/>
  <c r="D8" i="12"/>
  <c r="H8" i="12" s="1"/>
  <c r="D7" i="12"/>
  <c r="H7" i="12" s="1"/>
  <c r="D15" i="12"/>
  <c r="H15" i="12" s="1"/>
  <c r="D30" i="12"/>
  <c r="H30" i="12" s="1"/>
  <c r="H10" i="12"/>
  <c r="H20" i="12"/>
  <c r="F43" i="11"/>
  <c r="F43" i="12" s="1"/>
  <c r="F40" i="11"/>
  <c r="F40" i="12" s="1"/>
  <c r="H4" i="11"/>
  <c r="K6" i="11" s="1"/>
  <c r="F44" i="11"/>
  <c r="F44" i="12" s="1"/>
  <c r="F45" i="11"/>
  <c r="F45" i="12" s="1"/>
  <c r="F41" i="11"/>
  <c r="F41" i="12" s="1"/>
  <c r="F42" i="11"/>
  <c r="F42" i="12" s="1"/>
  <c r="K2" i="11" l="1"/>
  <c r="K3" i="11" s="1"/>
  <c r="K4" i="11" s="1"/>
  <c r="H40" i="11"/>
  <c r="H43" i="11"/>
  <c r="I7" i="11"/>
  <c r="I20" i="11"/>
  <c r="H45" i="11"/>
  <c r="H44" i="11"/>
  <c r="I33" i="11"/>
  <c r="I22" i="11"/>
  <c r="I9" i="11"/>
  <c r="I28" i="11"/>
  <c r="I8" i="11"/>
  <c r="I24" i="11"/>
  <c r="I37" i="11"/>
  <c r="I15" i="11"/>
  <c r="I27" i="11"/>
  <c r="I29" i="11"/>
  <c r="I32" i="11"/>
  <c r="I10" i="11"/>
  <c r="I4" i="11"/>
  <c r="I6" i="11"/>
  <c r="I26" i="11"/>
  <c r="I5" i="11"/>
  <c r="I12" i="11"/>
  <c r="I17" i="11"/>
  <c r="I16" i="11"/>
  <c r="I31" i="11"/>
  <c r="I14" i="11"/>
  <c r="I30" i="11"/>
  <c r="I36" i="11"/>
  <c r="I13" i="11"/>
  <c r="H42" i="11"/>
  <c r="I21" i="11"/>
  <c r="I18" i="11"/>
  <c r="I19" i="11"/>
  <c r="I11" i="11"/>
  <c r="I38" i="11"/>
  <c r="I34" i="11"/>
  <c r="I35" i="11"/>
  <c r="I2" i="11"/>
  <c r="I23" i="11"/>
  <c r="I3" i="11"/>
  <c r="H41" i="11"/>
  <c r="I25" i="11"/>
  <c r="H2" i="12"/>
  <c r="D61" i="12"/>
  <c r="D60" i="12"/>
  <c r="D62" i="12"/>
  <c r="I28" i="12" l="1"/>
  <c r="H45" i="12"/>
  <c r="H44" i="12"/>
  <c r="H42" i="12"/>
  <c r="H41" i="12"/>
  <c r="H40" i="12"/>
  <c r="H43" i="12"/>
  <c r="K5" i="11"/>
  <c r="K6" i="12"/>
  <c r="I27" i="12"/>
  <c r="I36" i="12"/>
  <c r="I11" i="12"/>
  <c r="I25" i="12"/>
  <c r="I14" i="12"/>
  <c r="I20" i="12"/>
  <c r="I33" i="12"/>
  <c r="I24" i="12"/>
  <c r="I17" i="12"/>
  <c r="I6" i="12"/>
  <c r="I34" i="12"/>
  <c r="I26" i="12"/>
  <c r="I10" i="12"/>
  <c r="I13" i="12"/>
  <c r="I37" i="12"/>
  <c r="I15" i="12"/>
  <c r="I32" i="12"/>
  <c r="I19" i="12"/>
  <c r="I16" i="12"/>
  <c r="I5" i="12"/>
  <c r="I18" i="12"/>
  <c r="I38" i="12"/>
  <c r="I23" i="12"/>
  <c r="I9" i="12"/>
  <c r="I30" i="12"/>
  <c r="I21" i="12"/>
  <c r="K2" i="12"/>
  <c r="K3" i="12" s="1"/>
  <c r="K4" i="12" s="1"/>
  <c r="I3" i="12"/>
  <c r="I22" i="12"/>
  <c r="I8" i="12"/>
  <c r="I31" i="12"/>
  <c r="I2" i="12"/>
  <c r="I29" i="12"/>
  <c r="I12" i="12"/>
  <c r="I4" i="12"/>
  <c r="I35" i="12"/>
  <c r="I7" i="12"/>
  <c r="K5" i="12" l="1"/>
</calcChain>
</file>

<file path=xl/sharedStrings.xml><?xml version="1.0" encoding="utf-8"?>
<sst xmlns="http://schemas.openxmlformats.org/spreadsheetml/2006/main" count="210" uniqueCount="52">
  <si>
    <t>学号</t>
    <phoneticPr fontId="2" type="noConversion"/>
  </si>
  <si>
    <t>姓名</t>
    <phoneticPr fontId="2" type="noConversion"/>
  </si>
  <si>
    <t>mean</t>
  </si>
  <si>
    <t>std</t>
  </si>
  <si>
    <t>min</t>
  </si>
  <si>
    <t>max</t>
  </si>
  <si>
    <t>count</t>
  </si>
  <si>
    <t>median</t>
  </si>
  <si>
    <t>min</t>
    <phoneticPr fontId="2" type="noConversion"/>
  </si>
  <si>
    <t>Rank</t>
  </si>
  <si>
    <t>序号</t>
  </si>
  <si>
    <t>作业</t>
  </si>
  <si>
    <t>考勤</t>
  </si>
  <si>
    <t>期末考查</t>
  </si>
  <si>
    <t>总成绩*</t>
  </si>
  <si>
    <t>构成</t>
  </si>
  <si>
    <t>&gt;90</t>
  </si>
  <si>
    <t>&gt;80</t>
  </si>
  <si>
    <t>&gt;70</t>
  </si>
  <si>
    <t>&gt;60</t>
  </si>
  <si>
    <t>&lt;60</t>
  </si>
  <si>
    <t>课堂quiz</t>
    <phoneticPr fontId="2" type="noConversion"/>
  </si>
  <si>
    <t>max(C)</t>
  </si>
  <si>
    <t>median(C)</t>
  </si>
  <si>
    <t>Median(C)*(Max(T) - Median(T))</t>
  </si>
  <si>
    <t>(Median(C)*Max(T)/Max(C) - Median(T))</t>
  </si>
  <si>
    <t xml:space="preserve"> (1 - Median(C)/Max(C))*Max(T)*Median(T)</t>
  </si>
  <si>
    <t>Equation</t>
  </si>
  <si>
    <t>C = T*Median(C)*(Max(T) - Median(T))/ (T*(Median(C)*Max(T)/Max(C) - Median(T)) + (1 - Median(C)/Max(C))*Max(T)*Median(T))</t>
  </si>
  <si>
    <t>Dynamic</t>
  </si>
  <si>
    <t>count</t>
    <phoneticPr fontId="2" type="noConversion"/>
  </si>
  <si>
    <t>Prior to curve</t>
    <phoneticPr fontId="2" type="noConversion"/>
  </si>
  <si>
    <t>03******</t>
  </si>
  <si>
    <t>10******</t>
  </si>
  <si>
    <t>19******</t>
  </si>
  <si>
    <t>23******</t>
  </si>
  <si>
    <t>27******</t>
  </si>
  <si>
    <t>Y**</t>
  </si>
  <si>
    <t>D**</t>
  </si>
  <si>
    <t>Z**</t>
  </si>
  <si>
    <t>W**</t>
  </si>
  <si>
    <t>S**</t>
  </si>
  <si>
    <t>J**</t>
  </si>
  <si>
    <t>H**</t>
  </si>
  <si>
    <t>X**</t>
  </si>
  <si>
    <t>F**</t>
  </si>
  <si>
    <t>L**</t>
  </si>
  <si>
    <t>C**</t>
  </si>
  <si>
    <t>M**</t>
  </si>
  <si>
    <t>G**</t>
  </si>
  <si>
    <t>Q**</t>
  </si>
  <si>
    <t>T**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</si>
</sst>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;[Red]0"/>
  </numFmts>
  <fonts count="6" x14ac:knownFonts="1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2"/>
      <scheme val="minor"/>
    </font>
    <font>
      <sz val="9"/>
      <name val="等线"/>
      <family val="2"/>
      <charset val="134"/>
      <scheme val="minor"/>
    </font>
    <font>
      <sz val="11"/>
      <color rgb="FF3F3F76"/>
      <name val="等线"/>
      <family val="2"/>
      <charset val="134"/>
      <scheme val="minor"/>
    </font>
    <font>
      <sz val="11"/>
      <color rgb="FFFF0000"/>
      <name val="等线"/>
      <family val="2"/>
      <charset val="134"/>
      <scheme val="minor"/>
    </font>
    <font>
      <sz val="12"/>
      <color rgb="FF00000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99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3">
    <xf numFmtId="0" fontId="0" fillId="0" borderId="0">
      <alignment vertical="center"/>
    </xf>
    <xf numFmtId="0" fontId="3" fillId="4" borderId="2" applyNumberFormat="0" applyAlignment="0" applyProtection="0">
      <alignment vertical="center"/>
    </xf>
    <xf numFmtId="0" fontId="1" fillId="0" borderId="0"/>
  </cellStyleXfs>
  <cellXfs count="19">
    <xf numFmtId="0" fontId="0" fillId="0" borderId="0" xfId="0">
      <alignment vertical="center"/>
    </xf>
    <xf numFmtId="0" fontId="0" fillId="2" borderId="0" xfId="0" applyFill="1">
      <alignment vertical="center"/>
    </xf>
    <xf numFmtId="176" fontId="0" fillId="0" borderId="0" xfId="0" applyNumberFormat="1">
      <alignment vertical="center"/>
    </xf>
    <xf numFmtId="177" fontId="1" fillId="0" borderId="1" xfId="2" quotePrefix="1" applyNumberFormat="1" applyBorder="1" applyAlignment="1">
      <alignment horizontal="center" vertical="center"/>
    </xf>
    <xf numFmtId="49" fontId="1" fillId="0" borderId="1" xfId="2" applyNumberFormat="1" applyBorder="1" applyAlignment="1">
      <alignment horizontal="center" vertical="center"/>
    </xf>
    <xf numFmtId="9" fontId="0" fillId="2" borderId="0" xfId="0" applyNumberFormat="1" applyFill="1">
      <alignment vertical="center"/>
    </xf>
    <xf numFmtId="1" fontId="0" fillId="0" borderId="0" xfId="0" applyNumberFormat="1">
      <alignment vertical="center"/>
    </xf>
    <xf numFmtId="0" fontId="0" fillId="3" borderId="0" xfId="0" applyFill="1">
      <alignment vertical="center"/>
    </xf>
    <xf numFmtId="1" fontId="0" fillId="3" borderId="0" xfId="0" applyNumberFormat="1" applyFill="1">
      <alignment vertical="center"/>
    </xf>
    <xf numFmtId="1" fontId="0" fillId="2" borderId="0" xfId="0" applyNumberFormat="1" applyFill="1">
      <alignment vertical="center"/>
    </xf>
    <xf numFmtId="0" fontId="3" fillId="4" borderId="2" xfId="1" applyAlignment="1">
      <alignment vertical="center"/>
    </xf>
    <xf numFmtId="0" fontId="5" fillId="0" borderId="0" xfId="0" applyFont="1">
      <alignment vertical="center"/>
    </xf>
    <xf numFmtId="177" fontId="1" fillId="0" borderId="0" xfId="2" applyNumberFormat="1" applyFill="1" applyBorder="1" applyAlignment="1">
      <alignment horizontal="left" vertical="center"/>
    </xf>
    <xf numFmtId="1" fontId="4" fillId="4" borderId="2" xfId="1" applyNumberFormat="1" applyFont="1" applyAlignment="1">
      <alignment vertical="center"/>
    </xf>
    <xf numFmtId="176" fontId="0" fillId="2" borderId="0" xfId="0" applyNumberFormat="1" applyFill="1">
      <alignment vertical="center"/>
    </xf>
    <xf numFmtId="0" fontId="0" fillId="0" borderId="0" xfId="0" applyFill="1">
      <alignment vertical="center"/>
    </xf>
    <xf numFmtId="177" fontId="1" fillId="0" borderId="1" xfId="2" quotePrefix="1" applyNumberFormat="1" applyFill="1" applyBorder="1" applyAlignment="1">
      <alignment horizontal="center" vertical="center"/>
    </xf>
    <xf numFmtId="49" fontId="1" fillId="0" borderId="1" xfId="2" applyNumberFormat="1" applyFill="1" applyBorder="1" applyAlignment="1">
      <alignment horizontal="center" vertical="center"/>
    </xf>
    <xf numFmtId="1" fontId="0" fillId="0" borderId="0" xfId="0" applyNumberFormat="1" applyFill="1">
      <alignment vertical="center"/>
    </xf>
  </cellXfs>
  <cellStyles count="3">
    <cellStyle name="Input" xfId="1" builtinId="20"/>
    <cellStyle name="Normal" xfId="0" builtinId="0"/>
    <cellStyle name="Normal 2" xfId="2" xr:uid="{B43FE7D1-D374-4EBB-B298-DB4B1A0E95E8}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8FAEC3-468A-4519-BF50-99C9BEC02712}">
  <sheetPr>
    <tabColor theme="2"/>
  </sheetPr>
  <dimension ref="A1:P46"/>
  <sheetViews>
    <sheetView workbookViewId="0">
      <pane ySplit="1" topLeftCell="A2" activePane="bottomLeft" state="frozen"/>
      <selection pane="bottomLeft" activeCell="E2" sqref="E2"/>
    </sheetView>
  </sheetViews>
  <sheetFormatPr defaultRowHeight="14" customHeight="1" x14ac:dyDescent="0.3"/>
  <cols>
    <col min="1" max="1" width="4.83203125" bestFit="1" customWidth="1"/>
    <col min="2" max="2" width="7.6640625" bestFit="1" customWidth="1"/>
    <col min="3" max="3" width="7.08203125" bestFit="1" customWidth="1"/>
    <col min="4" max="5" width="4.83203125" bestFit="1" customWidth="1"/>
    <col min="6" max="6" width="8.5" bestFit="1" customWidth="1"/>
    <col min="7" max="7" width="8.1640625" bestFit="1" customWidth="1"/>
    <col min="8" max="8" width="7.4140625" bestFit="1" customWidth="1"/>
    <col min="9" max="9" width="5" bestFit="1" customWidth="1"/>
    <col min="10" max="10" width="4.4140625" bestFit="1" customWidth="1"/>
    <col min="11" max="11" width="3.1640625" bestFit="1" customWidth="1"/>
    <col min="13" max="13" width="8.5" bestFit="1" customWidth="1"/>
    <col min="14" max="14" width="5.08203125" bestFit="1" customWidth="1"/>
  </cols>
  <sheetData>
    <row r="1" spans="1:16" ht="14" customHeight="1" x14ac:dyDescent="0.3">
      <c r="A1" t="s">
        <v>10</v>
      </c>
      <c r="B1" t="s">
        <v>0</v>
      </c>
      <c r="C1" t="s">
        <v>1</v>
      </c>
      <c r="D1" t="s">
        <v>11</v>
      </c>
      <c r="E1" t="s">
        <v>12</v>
      </c>
      <c r="F1" s="1" t="s">
        <v>13</v>
      </c>
      <c r="G1" s="1" t="s">
        <v>21</v>
      </c>
      <c r="H1" t="s">
        <v>14</v>
      </c>
      <c r="I1" t="s">
        <v>9</v>
      </c>
      <c r="M1" s="1" t="s">
        <v>15</v>
      </c>
      <c r="N1" s="5">
        <f>SUM(N2:N5)</f>
        <v>1</v>
      </c>
    </row>
    <row r="2" spans="1:16" ht="14" customHeight="1" x14ac:dyDescent="0.3">
      <c r="A2">
        <v>1</v>
      </c>
      <c r="B2" s="3" t="s">
        <v>32</v>
      </c>
      <c r="C2" s="4" t="s">
        <v>37</v>
      </c>
      <c r="D2" s="6">
        <v>90</v>
      </c>
      <c r="E2" s="6">
        <v>100</v>
      </c>
      <c r="F2" s="6">
        <v>90</v>
      </c>
      <c r="G2" s="6">
        <v>88</v>
      </c>
      <c r="H2" s="6">
        <f t="shared" ref="H2:H38" si="0">ROUND(D2*VLOOKUP($D$1,$M$2:$N$5,2,FALSE)+E2*VLOOKUP($E$1,$M$2:$N$5,2,FALSE)+F2*VLOOKUP($F$1,$M$2:$N$5,2,FALSE)+G2*VLOOKUP($G$1,$M$2:$N$5,2,FALSE),0)</f>
        <v>90</v>
      </c>
      <c r="I2">
        <f t="shared" ref="I2:I38" si="1">_xlfn.RANK.EQ(H2,H$2:H$38)</f>
        <v>3</v>
      </c>
      <c r="J2" t="s">
        <v>16</v>
      </c>
      <c r="K2">
        <f>COUNTIF(H$2:H$38,"&gt;=90")</f>
        <v>3</v>
      </c>
      <c r="M2" s="1" t="s">
        <v>11</v>
      </c>
      <c r="N2" s="5">
        <v>0.67</v>
      </c>
      <c r="P2" ph="1"/>
    </row>
    <row r="3" spans="1:16" ht="14" customHeight="1" x14ac:dyDescent="0.3">
      <c r="A3">
        <v>2</v>
      </c>
      <c r="B3" s="3" t="s">
        <v>33</v>
      </c>
      <c r="C3" s="4" t="s">
        <v>38</v>
      </c>
      <c r="D3" s="6">
        <v>93</v>
      </c>
      <c r="E3" s="6">
        <v>100</v>
      </c>
      <c r="F3" s="6">
        <v>95</v>
      </c>
      <c r="G3" s="6">
        <v>95</v>
      </c>
      <c r="H3" s="6">
        <f t="shared" si="0"/>
        <v>94</v>
      </c>
      <c r="I3">
        <f t="shared" si="1"/>
        <v>1</v>
      </c>
      <c r="J3" t="s">
        <v>17</v>
      </c>
      <c r="K3" s="6">
        <f>COUNTIF(H$2:H$38,"&gt;=80")-K2</f>
        <v>12</v>
      </c>
      <c r="M3" s="1" t="s">
        <v>12</v>
      </c>
      <c r="N3" s="5">
        <v>0.05</v>
      </c>
      <c r="P3" ph="1"/>
    </row>
    <row r="4" spans="1:16" ht="14" customHeight="1" x14ac:dyDescent="0.3">
      <c r="A4">
        <v>3</v>
      </c>
      <c r="B4" s="3" t="s">
        <v>33</v>
      </c>
      <c r="C4" s="4" t="s">
        <v>39</v>
      </c>
      <c r="D4" s="6">
        <v>87</v>
      </c>
      <c r="E4" s="6">
        <v>100</v>
      </c>
      <c r="F4" s="6">
        <v>80</v>
      </c>
      <c r="G4" s="6">
        <v>70</v>
      </c>
      <c r="H4" s="6">
        <f t="shared" si="0"/>
        <v>85</v>
      </c>
      <c r="I4">
        <f t="shared" si="1"/>
        <v>11</v>
      </c>
      <c r="J4" t="s">
        <v>18</v>
      </c>
      <c r="K4" s="6">
        <f>COUNTIF(H$2:H$38,"&gt;=70")-K3-K2</f>
        <v>8</v>
      </c>
      <c r="M4" s="1" t="s">
        <v>13</v>
      </c>
      <c r="N4" s="5">
        <v>0.25</v>
      </c>
      <c r="P4" ph="1"/>
    </row>
    <row r="5" spans="1:16" s="7" customFormat="1" ht="14" customHeight="1" x14ac:dyDescent="0.3">
      <c r="A5" s="7">
        <v>4</v>
      </c>
      <c r="B5" s="3" t="s">
        <v>33</v>
      </c>
      <c r="C5" s="4" t="s">
        <v>37</v>
      </c>
      <c r="D5" s="6">
        <v>82</v>
      </c>
      <c r="E5" s="6">
        <v>100</v>
      </c>
      <c r="F5" s="6">
        <v>80</v>
      </c>
      <c r="G5" s="6">
        <v>65</v>
      </c>
      <c r="H5" s="6">
        <f t="shared" si="0"/>
        <v>82</v>
      </c>
      <c r="I5">
        <f t="shared" si="1"/>
        <v>15</v>
      </c>
      <c r="J5" s="7" t="s">
        <v>19</v>
      </c>
      <c r="K5" s="8">
        <f>COUNTIF(H$2:H$38,"&gt;=60")-SUM(K2:K4)</f>
        <v>5</v>
      </c>
      <c r="M5" s="1" t="s">
        <v>21</v>
      </c>
      <c r="N5" s="5">
        <v>0.03</v>
      </c>
      <c r="P5" s="7" ph="1"/>
    </row>
    <row r="6" spans="1:16" ht="14" customHeight="1" x14ac:dyDescent="0.3">
      <c r="A6">
        <v>5</v>
      </c>
      <c r="B6" s="3" t="s">
        <v>33</v>
      </c>
      <c r="C6" s="4" t="s">
        <v>40</v>
      </c>
      <c r="D6" s="6">
        <v>68</v>
      </c>
      <c r="E6" s="6">
        <v>100</v>
      </c>
      <c r="F6" s="6">
        <v>82</v>
      </c>
      <c r="G6" s="6">
        <v>70</v>
      </c>
      <c r="H6" s="6">
        <f t="shared" si="0"/>
        <v>73</v>
      </c>
      <c r="I6">
        <f t="shared" si="1"/>
        <v>18</v>
      </c>
      <c r="J6" t="s">
        <v>20</v>
      </c>
      <c r="K6">
        <f>COUNTIF(H$2:H$38,"&lt;60")</f>
        <v>9</v>
      </c>
      <c r="P6" ph="1"/>
    </row>
    <row r="7" spans="1:16" ht="14" customHeight="1" x14ac:dyDescent="0.3">
      <c r="A7">
        <v>6</v>
      </c>
      <c r="B7" s="3" t="s">
        <v>33</v>
      </c>
      <c r="C7" s="4" t="s">
        <v>38</v>
      </c>
      <c r="D7" s="6">
        <v>79</v>
      </c>
      <c r="E7" s="6">
        <v>100</v>
      </c>
      <c r="F7" s="6">
        <v>93</v>
      </c>
      <c r="G7" s="6">
        <v>95</v>
      </c>
      <c r="H7" s="6">
        <f t="shared" si="0"/>
        <v>84</v>
      </c>
      <c r="I7">
        <f t="shared" si="1"/>
        <v>14</v>
      </c>
      <c r="P7" ph="1"/>
    </row>
    <row r="8" spans="1:16" ht="14" customHeight="1" x14ac:dyDescent="0.3">
      <c r="A8">
        <v>7</v>
      </c>
      <c r="B8" s="3" t="s">
        <v>33</v>
      </c>
      <c r="C8" s="4" t="s">
        <v>41</v>
      </c>
      <c r="D8" s="6">
        <v>94</v>
      </c>
      <c r="E8" s="6">
        <v>100</v>
      </c>
      <c r="F8" s="6">
        <v>85</v>
      </c>
      <c r="G8" s="6">
        <v>85</v>
      </c>
      <c r="H8" s="6">
        <f t="shared" si="0"/>
        <v>92</v>
      </c>
      <c r="I8">
        <f t="shared" si="1"/>
        <v>2</v>
      </c>
      <c r="P8" ph="1"/>
    </row>
    <row r="9" spans="1:16" ht="14" customHeight="1" x14ac:dyDescent="0.3">
      <c r="A9">
        <v>8</v>
      </c>
      <c r="B9" s="3" t="s">
        <v>33</v>
      </c>
      <c r="C9" s="4" t="s">
        <v>42</v>
      </c>
      <c r="D9" s="6">
        <v>87</v>
      </c>
      <c r="E9" s="6">
        <v>100</v>
      </c>
      <c r="F9" s="6">
        <v>86</v>
      </c>
      <c r="G9" s="6">
        <v>82</v>
      </c>
      <c r="H9" s="6">
        <f t="shared" si="0"/>
        <v>87</v>
      </c>
      <c r="I9">
        <f t="shared" si="1"/>
        <v>7</v>
      </c>
      <c r="P9" ph="1"/>
    </row>
    <row r="10" spans="1:16" s="15" customFormat="1" ht="14" customHeight="1" x14ac:dyDescent="0.3">
      <c r="A10" s="15">
        <v>9</v>
      </c>
      <c r="B10" s="16" t="s">
        <v>33</v>
      </c>
      <c r="C10" s="17" t="s">
        <v>37</v>
      </c>
      <c r="D10" s="18">
        <v>0</v>
      </c>
      <c r="E10" s="18">
        <v>50</v>
      </c>
      <c r="F10" s="18">
        <v>70</v>
      </c>
      <c r="G10" s="18">
        <v>0</v>
      </c>
      <c r="H10" s="18">
        <f t="shared" si="0"/>
        <v>20</v>
      </c>
      <c r="I10" s="15">
        <f t="shared" si="1"/>
        <v>36</v>
      </c>
      <c r="P10" s="15" ph="1"/>
    </row>
    <row r="11" spans="1:16" ht="14" customHeight="1" x14ac:dyDescent="0.3">
      <c r="A11">
        <v>10</v>
      </c>
      <c r="B11" s="3" t="s">
        <v>33</v>
      </c>
      <c r="C11" s="4" t="s">
        <v>40</v>
      </c>
      <c r="D11" s="6">
        <v>72</v>
      </c>
      <c r="E11" s="6">
        <v>100</v>
      </c>
      <c r="F11" s="6">
        <v>81</v>
      </c>
      <c r="G11" s="6">
        <v>75</v>
      </c>
      <c r="H11" s="6">
        <f t="shared" si="0"/>
        <v>76</v>
      </c>
      <c r="I11">
        <f t="shared" si="1"/>
        <v>16</v>
      </c>
      <c r="P11" ph="1"/>
    </row>
    <row r="12" spans="1:16" ht="14" customHeight="1" x14ac:dyDescent="0.3">
      <c r="A12">
        <v>11</v>
      </c>
      <c r="B12" s="3" t="s">
        <v>33</v>
      </c>
      <c r="C12" s="4" t="s">
        <v>40</v>
      </c>
      <c r="D12" s="6">
        <v>64</v>
      </c>
      <c r="E12" s="6">
        <v>100</v>
      </c>
      <c r="F12" s="6">
        <v>88</v>
      </c>
      <c r="G12" s="6">
        <v>80</v>
      </c>
      <c r="H12" s="6">
        <f t="shared" si="0"/>
        <v>72</v>
      </c>
      <c r="I12">
        <f t="shared" si="1"/>
        <v>19</v>
      </c>
      <c r="P12" ph="1"/>
    </row>
    <row r="13" spans="1:16" s="15" customFormat="1" ht="14" customHeight="1" x14ac:dyDescent="0.3">
      <c r="A13" s="15">
        <v>12</v>
      </c>
      <c r="B13" s="16" t="s">
        <v>33</v>
      </c>
      <c r="C13" s="17" t="s">
        <v>43</v>
      </c>
      <c r="D13" s="18">
        <v>59</v>
      </c>
      <c r="E13" s="18">
        <v>100</v>
      </c>
      <c r="F13" s="18">
        <v>60</v>
      </c>
      <c r="G13" s="18">
        <v>65</v>
      </c>
      <c r="H13" s="18">
        <f t="shared" si="0"/>
        <v>61</v>
      </c>
      <c r="I13" s="15">
        <f t="shared" si="1"/>
        <v>27</v>
      </c>
      <c r="P13" s="15" ph="1"/>
    </row>
    <row r="14" spans="1:16" ht="14" customHeight="1" x14ac:dyDescent="0.3">
      <c r="A14">
        <v>13</v>
      </c>
      <c r="B14" s="3" t="s">
        <v>33</v>
      </c>
      <c r="C14" s="4" t="s">
        <v>44</v>
      </c>
      <c r="D14" s="6">
        <v>89</v>
      </c>
      <c r="E14" s="6">
        <v>100</v>
      </c>
      <c r="F14" s="6">
        <v>88</v>
      </c>
      <c r="G14" s="6">
        <v>95</v>
      </c>
      <c r="H14" s="6">
        <f t="shared" si="0"/>
        <v>89</v>
      </c>
      <c r="I14">
        <f t="shared" si="1"/>
        <v>4</v>
      </c>
      <c r="P14" ph="1"/>
    </row>
    <row r="15" spans="1:16" ht="14" customHeight="1" x14ac:dyDescent="0.3">
      <c r="A15">
        <v>14</v>
      </c>
      <c r="B15" s="3" t="s">
        <v>33</v>
      </c>
      <c r="C15" s="4" t="s">
        <v>45</v>
      </c>
      <c r="D15" s="6">
        <v>82</v>
      </c>
      <c r="E15" s="6">
        <v>100</v>
      </c>
      <c r="F15" s="6">
        <v>90</v>
      </c>
      <c r="G15" s="6">
        <v>75</v>
      </c>
      <c r="H15" s="6">
        <f t="shared" si="0"/>
        <v>85</v>
      </c>
      <c r="I15">
        <f t="shared" si="1"/>
        <v>11</v>
      </c>
      <c r="P15" ph="1"/>
    </row>
    <row r="16" spans="1:16" ht="14" customHeight="1" x14ac:dyDescent="0.3">
      <c r="A16">
        <v>15</v>
      </c>
      <c r="B16" s="3" t="s">
        <v>33</v>
      </c>
      <c r="C16" s="4" t="s">
        <v>42</v>
      </c>
      <c r="D16" s="6">
        <v>61</v>
      </c>
      <c r="E16" s="6">
        <v>100</v>
      </c>
      <c r="F16" s="6">
        <v>95</v>
      </c>
      <c r="G16" s="6">
        <v>94</v>
      </c>
      <c r="H16" s="6">
        <f t="shared" si="0"/>
        <v>72</v>
      </c>
      <c r="I16">
        <f t="shared" si="1"/>
        <v>19</v>
      </c>
      <c r="P16" ph="1"/>
    </row>
    <row r="17" spans="1:16" ht="14" customHeight="1" x14ac:dyDescent="0.3">
      <c r="A17">
        <v>16</v>
      </c>
      <c r="B17" s="3" t="s">
        <v>33</v>
      </c>
      <c r="C17" s="4" t="s">
        <v>41</v>
      </c>
      <c r="D17" s="6">
        <v>33</v>
      </c>
      <c r="E17" s="6">
        <v>50</v>
      </c>
      <c r="F17" s="6">
        <v>74</v>
      </c>
      <c r="G17" s="6">
        <v>70</v>
      </c>
      <c r="H17" s="6">
        <f t="shared" si="0"/>
        <v>45</v>
      </c>
      <c r="I17">
        <f t="shared" si="1"/>
        <v>32</v>
      </c>
      <c r="P17" ph="1"/>
    </row>
    <row r="18" spans="1:16" ht="14" customHeight="1" x14ac:dyDescent="0.3">
      <c r="A18">
        <v>17</v>
      </c>
      <c r="B18" s="3" t="s">
        <v>33</v>
      </c>
      <c r="C18" s="4" t="s">
        <v>46</v>
      </c>
      <c r="D18" s="6">
        <v>83</v>
      </c>
      <c r="E18" s="6">
        <v>100</v>
      </c>
      <c r="F18" s="6">
        <v>90</v>
      </c>
      <c r="G18" s="6">
        <v>85</v>
      </c>
      <c r="H18" s="6">
        <f t="shared" si="0"/>
        <v>86</v>
      </c>
      <c r="I18">
        <f t="shared" si="1"/>
        <v>9</v>
      </c>
      <c r="P18" ph="1"/>
    </row>
    <row r="19" spans="1:16" ht="14" customHeight="1" x14ac:dyDescent="0.3">
      <c r="A19">
        <v>18</v>
      </c>
      <c r="B19" s="3" t="s">
        <v>33</v>
      </c>
      <c r="C19" s="4" t="s">
        <v>47</v>
      </c>
      <c r="D19" s="6">
        <v>45</v>
      </c>
      <c r="E19" s="6">
        <v>50</v>
      </c>
      <c r="F19" s="6">
        <v>74</v>
      </c>
      <c r="G19" s="6">
        <v>0</v>
      </c>
      <c r="H19" s="6">
        <f t="shared" si="0"/>
        <v>51</v>
      </c>
      <c r="I19">
        <f t="shared" si="1"/>
        <v>29</v>
      </c>
      <c r="P19" ph="1"/>
    </row>
    <row r="20" spans="1:16" ht="14" customHeight="1" x14ac:dyDescent="0.3">
      <c r="A20">
        <v>19</v>
      </c>
      <c r="B20" s="3" t="s">
        <v>33</v>
      </c>
      <c r="C20" s="4" t="s">
        <v>47</v>
      </c>
      <c r="D20" s="6">
        <v>87</v>
      </c>
      <c r="E20" s="6">
        <v>100</v>
      </c>
      <c r="F20" s="6">
        <v>85</v>
      </c>
      <c r="G20" s="6">
        <v>85</v>
      </c>
      <c r="H20" s="6">
        <f t="shared" si="0"/>
        <v>87</v>
      </c>
      <c r="I20">
        <f t="shared" si="1"/>
        <v>7</v>
      </c>
      <c r="P20" ph="1"/>
    </row>
    <row r="21" spans="1:16" ht="14" customHeight="1" x14ac:dyDescent="0.3">
      <c r="A21">
        <v>20</v>
      </c>
      <c r="B21" s="3" t="s">
        <v>33</v>
      </c>
      <c r="C21" s="4" t="s">
        <v>39</v>
      </c>
      <c r="D21" s="6">
        <v>32</v>
      </c>
      <c r="E21" s="6">
        <v>50</v>
      </c>
      <c r="F21" s="6">
        <v>60</v>
      </c>
      <c r="G21" s="6">
        <v>0</v>
      </c>
      <c r="H21" s="6">
        <f t="shared" si="0"/>
        <v>39</v>
      </c>
      <c r="I21">
        <f t="shared" si="1"/>
        <v>34</v>
      </c>
      <c r="P21" ph="1"/>
    </row>
    <row r="22" spans="1:16" ht="14" customHeight="1" x14ac:dyDescent="0.3">
      <c r="A22">
        <v>21</v>
      </c>
      <c r="B22" s="3" t="s">
        <v>33</v>
      </c>
      <c r="C22" s="4" t="s">
        <v>47</v>
      </c>
      <c r="D22" s="6">
        <v>66</v>
      </c>
      <c r="E22" s="6">
        <v>100</v>
      </c>
      <c r="F22" s="6">
        <v>82</v>
      </c>
      <c r="G22" s="6">
        <v>82</v>
      </c>
      <c r="H22" s="6">
        <f t="shared" si="0"/>
        <v>72</v>
      </c>
      <c r="I22">
        <f t="shared" si="1"/>
        <v>19</v>
      </c>
      <c r="P22" ph="1"/>
    </row>
    <row r="23" spans="1:16" ht="14" customHeight="1" x14ac:dyDescent="0.3">
      <c r="A23">
        <v>22</v>
      </c>
      <c r="B23" s="3" t="s">
        <v>33</v>
      </c>
      <c r="C23" s="4" t="s">
        <v>48</v>
      </c>
      <c r="D23" s="6">
        <v>28</v>
      </c>
      <c r="E23" s="6">
        <v>0</v>
      </c>
      <c r="F23" s="6">
        <v>70</v>
      </c>
      <c r="G23" s="6">
        <v>0</v>
      </c>
      <c r="H23" s="6">
        <f t="shared" si="0"/>
        <v>36</v>
      </c>
      <c r="I23">
        <f t="shared" si="1"/>
        <v>35</v>
      </c>
      <c r="P23" ph="1"/>
    </row>
    <row r="24" spans="1:16" ht="14" customHeight="1" x14ac:dyDescent="0.3">
      <c r="A24">
        <v>23</v>
      </c>
      <c r="B24" s="3" t="s">
        <v>33</v>
      </c>
      <c r="C24" s="4" t="s">
        <v>40</v>
      </c>
      <c r="D24" s="6">
        <v>86</v>
      </c>
      <c r="E24" s="6">
        <v>100</v>
      </c>
      <c r="F24" s="6">
        <v>91</v>
      </c>
      <c r="G24" s="6">
        <v>80</v>
      </c>
      <c r="H24" s="6">
        <f t="shared" si="0"/>
        <v>88</v>
      </c>
      <c r="I24">
        <f t="shared" si="1"/>
        <v>5</v>
      </c>
      <c r="P24" ph="1"/>
    </row>
    <row r="25" spans="1:16" s="15" customFormat="1" ht="14" customHeight="1" x14ac:dyDescent="0.3">
      <c r="A25" s="15">
        <v>24</v>
      </c>
      <c r="B25" s="16" t="s">
        <v>33</v>
      </c>
      <c r="C25" s="17" t="s">
        <v>49</v>
      </c>
      <c r="D25" s="18">
        <v>0</v>
      </c>
      <c r="E25" s="18">
        <v>0</v>
      </c>
      <c r="F25" s="18">
        <v>70</v>
      </c>
      <c r="G25" s="18">
        <v>0</v>
      </c>
      <c r="H25" s="18">
        <f t="shared" si="0"/>
        <v>18</v>
      </c>
      <c r="I25" s="15">
        <f t="shared" si="1"/>
        <v>37</v>
      </c>
      <c r="P25" s="15" ph="1"/>
    </row>
    <row r="26" spans="1:16" ht="14" customHeight="1" x14ac:dyDescent="0.3">
      <c r="A26">
        <v>25</v>
      </c>
      <c r="B26" s="3" t="s">
        <v>33</v>
      </c>
      <c r="C26" s="4" t="s">
        <v>46</v>
      </c>
      <c r="D26" s="6">
        <v>58</v>
      </c>
      <c r="E26" s="6">
        <v>100</v>
      </c>
      <c r="F26" s="6">
        <v>65</v>
      </c>
      <c r="G26" s="6">
        <v>65</v>
      </c>
      <c r="H26" s="6">
        <f t="shared" si="0"/>
        <v>62</v>
      </c>
      <c r="I26">
        <f t="shared" si="1"/>
        <v>24</v>
      </c>
      <c r="P26" ph="1"/>
    </row>
    <row r="27" spans="1:16" ht="14" customHeight="1" x14ac:dyDescent="0.3">
      <c r="A27">
        <v>26</v>
      </c>
      <c r="B27" s="3" t="s">
        <v>33</v>
      </c>
      <c r="C27" s="4" t="s">
        <v>47</v>
      </c>
      <c r="D27" s="6">
        <v>33</v>
      </c>
      <c r="E27" s="6">
        <v>100</v>
      </c>
      <c r="F27" s="6">
        <v>65</v>
      </c>
      <c r="G27" s="6">
        <v>60</v>
      </c>
      <c r="H27" s="6">
        <f t="shared" si="0"/>
        <v>45</v>
      </c>
      <c r="I27">
        <f t="shared" si="1"/>
        <v>32</v>
      </c>
      <c r="P27" ph="1"/>
    </row>
    <row r="28" spans="1:16" ht="14" customHeight="1" x14ac:dyDescent="0.3">
      <c r="A28">
        <v>27</v>
      </c>
      <c r="B28" s="3" t="s">
        <v>33</v>
      </c>
      <c r="C28" s="4" t="s">
        <v>46</v>
      </c>
      <c r="D28" s="6">
        <v>58</v>
      </c>
      <c r="E28" s="6">
        <v>0</v>
      </c>
      <c r="F28" s="6">
        <v>81</v>
      </c>
      <c r="G28" s="6">
        <v>75</v>
      </c>
      <c r="H28" s="6">
        <f t="shared" si="0"/>
        <v>61</v>
      </c>
      <c r="I28">
        <f t="shared" si="1"/>
        <v>27</v>
      </c>
      <c r="P28" ph="1"/>
    </row>
    <row r="29" spans="1:16" ht="14" customHeight="1" x14ac:dyDescent="0.3">
      <c r="A29">
        <v>28</v>
      </c>
      <c r="B29" s="3" t="s">
        <v>33</v>
      </c>
      <c r="C29" s="4" t="s">
        <v>47</v>
      </c>
      <c r="D29" s="6">
        <v>65</v>
      </c>
      <c r="E29" s="6">
        <v>100</v>
      </c>
      <c r="F29" s="6">
        <v>82</v>
      </c>
      <c r="G29" s="6">
        <v>70</v>
      </c>
      <c r="H29" s="6">
        <f t="shared" si="0"/>
        <v>71</v>
      </c>
      <c r="I29">
        <f t="shared" si="1"/>
        <v>22</v>
      </c>
      <c r="P29" ph="1"/>
    </row>
    <row r="30" spans="1:16" s="7" customFormat="1" ht="14" customHeight="1" x14ac:dyDescent="0.3">
      <c r="A30">
        <v>29</v>
      </c>
      <c r="B30" s="3" t="s">
        <v>33</v>
      </c>
      <c r="C30" s="4" t="s">
        <v>46</v>
      </c>
      <c r="D30" s="6">
        <v>51</v>
      </c>
      <c r="E30" s="6">
        <v>100</v>
      </c>
      <c r="F30" s="6">
        <v>82</v>
      </c>
      <c r="G30" s="6">
        <v>75</v>
      </c>
      <c r="H30" s="6">
        <f t="shared" si="0"/>
        <v>62</v>
      </c>
      <c r="I30">
        <f t="shared" si="1"/>
        <v>24</v>
      </c>
      <c r="P30" s="7" ph="1"/>
    </row>
    <row r="31" spans="1:16" ht="14" customHeight="1" x14ac:dyDescent="0.3">
      <c r="A31">
        <v>30</v>
      </c>
      <c r="B31" s="3" t="s">
        <v>33</v>
      </c>
      <c r="C31" s="4" t="s">
        <v>44</v>
      </c>
      <c r="D31" s="6">
        <v>37</v>
      </c>
      <c r="E31" s="6">
        <v>50</v>
      </c>
      <c r="F31" s="6">
        <v>85</v>
      </c>
      <c r="G31" s="6">
        <v>0</v>
      </c>
      <c r="H31" s="6">
        <f t="shared" si="0"/>
        <v>49</v>
      </c>
      <c r="I31">
        <f t="shared" si="1"/>
        <v>31</v>
      </c>
      <c r="P31" ph="1"/>
    </row>
    <row r="32" spans="1:16" s="7" customFormat="1" ht="14" customHeight="1" x14ac:dyDescent="0.3">
      <c r="A32">
        <v>31</v>
      </c>
      <c r="B32" s="3" t="s">
        <v>33</v>
      </c>
      <c r="C32" s="4" t="s">
        <v>47</v>
      </c>
      <c r="D32" s="6">
        <v>53</v>
      </c>
      <c r="E32" s="6">
        <v>100</v>
      </c>
      <c r="F32" s="6">
        <v>79</v>
      </c>
      <c r="G32" s="6">
        <v>72</v>
      </c>
      <c r="H32" s="6">
        <f t="shared" si="0"/>
        <v>62</v>
      </c>
      <c r="I32">
        <f t="shared" si="1"/>
        <v>24</v>
      </c>
      <c r="P32" s="7" ph="1"/>
    </row>
    <row r="33" spans="1:16" ht="14" customHeight="1" x14ac:dyDescent="0.3">
      <c r="A33">
        <v>32</v>
      </c>
      <c r="B33" s="3" t="s">
        <v>33</v>
      </c>
      <c r="C33" s="4" t="s">
        <v>48</v>
      </c>
      <c r="D33" s="6">
        <v>67</v>
      </c>
      <c r="E33" s="6">
        <v>100</v>
      </c>
      <c r="F33" s="6">
        <v>77</v>
      </c>
      <c r="G33" s="6">
        <v>70</v>
      </c>
      <c r="H33" s="6">
        <f t="shared" si="0"/>
        <v>71</v>
      </c>
      <c r="I33">
        <f t="shared" si="1"/>
        <v>22</v>
      </c>
      <c r="P33" ph="1"/>
    </row>
    <row r="34" spans="1:16" ht="14" customHeight="1" x14ac:dyDescent="0.3">
      <c r="A34">
        <v>33</v>
      </c>
      <c r="B34" s="3" t="s">
        <v>33</v>
      </c>
      <c r="C34" s="4" t="s">
        <v>40</v>
      </c>
      <c r="D34" s="6">
        <v>87</v>
      </c>
      <c r="E34" s="6">
        <v>100</v>
      </c>
      <c r="F34" s="6">
        <v>78</v>
      </c>
      <c r="G34" s="6">
        <v>75</v>
      </c>
      <c r="H34" s="6">
        <f t="shared" si="0"/>
        <v>85</v>
      </c>
      <c r="I34">
        <f t="shared" si="1"/>
        <v>11</v>
      </c>
      <c r="P34" ph="1"/>
    </row>
    <row r="35" spans="1:16" ht="14" customHeight="1" x14ac:dyDescent="0.3">
      <c r="A35">
        <v>34</v>
      </c>
      <c r="B35" s="3" t="s">
        <v>34</v>
      </c>
      <c r="C35" s="4" t="s">
        <v>50</v>
      </c>
      <c r="D35" s="6">
        <v>70</v>
      </c>
      <c r="E35" s="6">
        <v>100</v>
      </c>
      <c r="F35" s="6">
        <v>85</v>
      </c>
      <c r="G35" s="6">
        <v>65</v>
      </c>
      <c r="H35" s="6">
        <f t="shared" si="0"/>
        <v>75</v>
      </c>
      <c r="I35">
        <f t="shared" si="1"/>
        <v>17</v>
      </c>
      <c r="P35" ph="1"/>
    </row>
    <row r="36" spans="1:16" ht="14" customHeight="1" x14ac:dyDescent="0.3">
      <c r="A36">
        <v>35</v>
      </c>
      <c r="B36" s="3" t="s">
        <v>35</v>
      </c>
      <c r="C36" s="4" t="s">
        <v>51</v>
      </c>
      <c r="D36" s="6">
        <v>86</v>
      </c>
      <c r="E36" s="6">
        <v>100</v>
      </c>
      <c r="F36" s="6">
        <v>85</v>
      </c>
      <c r="G36" s="6">
        <v>85</v>
      </c>
      <c r="H36" s="6">
        <f t="shared" si="0"/>
        <v>86</v>
      </c>
      <c r="I36">
        <f t="shared" si="1"/>
        <v>9</v>
      </c>
      <c r="P36" ph="1"/>
    </row>
    <row r="37" spans="1:16" s="7" customFormat="1" ht="14" customHeight="1" x14ac:dyDescent="0.3">
      <c r="A37">
        <v>36</v>
      </c>
      <c r="B37" s="3" t="s">
        <v>36</v>
      </c>
      <c r="C37" s="4" t="s">
        <v>40</v>
      </c>
      <c r="D37" s="6">
        <v>87</v>
      </c>
      <c r="E37" s="6">
        <v>100</v>
      </c>
      <c r="F37" s="6">
        <v>90</v>
      </c>
      <c r="G37" s="6">
        <v>90</v>
      </c>
      <c r="H37" s="6">
        <f t="shared" si="0"/>
        <v>88</v>
      </c>
      <c r="I37">
        <f t="shared" si="1"/>
        <v>5</v>
      </c>
      <c r="P37" s="7" ph="1"/>
    </row>
    <row r="38" spans="1:16" ht="14" customHeight="1" x14ac:dyDescent="0.3">
      <c r="A38">
        <v>37</v>
      </c>
      <c r="B38" s="3" t="s">
        <v>36</v>
      </c>
      <c r="C38" s="4" t="s">
        <v>39</v>
      </c>
      <c r="D38" s="6">
        <v>38</v>
      </c>
      <c r="E38" s="6">
        <v>100</v>
      </c>
      <c r="F38" s="6">
        <v>70</v>
      </c>
      <c r="G38" s="6">
        <v>70</v>
      </c>
      <c r="H38" s="6">
        <f t="shared" si="0"/>
        <v>50</v>
      </c>
      <c r="I38">
        <f t="shared" si="1"/>
        <v>30</v>
      </c>
      <c r="P38" ph="1"/>
    </row>
    <row r="40" spans="1:16" ht="14" customHeight="1" x14ac:dyDescent="0.3">
      <c r="C40" t="s">
        <v>30</v>
      </c>
      <c r="D40">
        <f>COUNT(D2:D38)</f>
        <v>37</v>
      </c>
      <c r="F40">
        <f t="shared" ref="F40:H40" si="2">COUNT(F2:F38)</f>
        <v>37</v>
      </c>
      <c r="H40">
        <f t="shared" si="2"/>
        <v>37</v>
      </c>
    </row>
    <row r="41" spans="1:16" ht="14" customHeight="1" x14ac:dyDescent="0.3">
      <c r="C41" t="s">
        <v>2</v>
      </c>
      <c r="D41" s="6">
        <f>AVERAGE(D2:D38)</f>
        <v>63.702702702702702</v>
      </c>
      <c r="F41" s="6">
        <f>AVERAGE(F2:F38)</f>
        <v>80.621621621621628</v>
      </c>
      <c r="G41" s="6"/>
      <c r="H41" s="6">
        <f>AVERAGE(H2:H38)</f>
        <v>68.945945945945951</v>
      </c>
    </row>
    <row r="42" spans="1:16" ht="14" customHeight="1" x14ac:dyDescent="0.3">
      <c r="C42" t="s">
        <v>3</v>
      </c>
      <c r="D42" s="2">
        <f>_xlfn.STDEV.P(D2:D38)</f>
        <v>24.720999788302169</v>
      </c>
      <c r="E42" s="2"/>
      <c r="F42" s="2">
        <f>_xlfn.STDEV.P(F2:F38)</f>
        <v>9.2542213927785166</v>
      </c>
      <c r="G42" s="2"/>
      <c r="H42" s="2">
        <f>_xlfn.STDEV.P(H2:H38)</f>
        <v>19.962053116994927</v>
      </c>
    </row>
    <row r="43" spans="1:16" ht="14" customHeight="1" x14ac:dyDescent="0.3">
      <c r="C43" t="s">
        <v>8</v>
      </c>
      <c r="D43" s="2">
        <f>MIN(D2:D38)</f>
        <v>0</v>
      </c>
      <c r="E43" s="2"/>
      <c r="F43" s="2">
        <f t="shared" ref="F43:H43" si="3">MIN(F2:F38)</f>
        <v>60</v>
      </c>
      <c r="G43" s="2"/>
      <c r="H43" s="2">
        <f t="shared" si="3"/>
        <v>18</v>
      </c>
    </row>
    <row r="44" spans="1:16" ht="14" customHeight="1" x14ac:dyDescent="0.3">
      <c r="C44" t="s">
        <v>5</v>
      </c>
      <c r="D44" s="6">
        <f>MAX(D2:D38)</f>
        <v>94</v>
      </c>
      <c r="F44" s="6">
        <f>MAX(F2:F38)</f>
        <v>95</v>
      </c>
      <c r="G44" s="6"/>
      <c r="H44" s="6">
        <f>MAX(H2:H38)</f>
        <v>94</v>
      </c>
    </row>
    <row r="45" spans="1:16" ht="14" customHeight="1" x14ac:dyDescent="0.3">
      <c r="C45" t="s">
        <v>7</v>
      </c>
      <c r="D45" s="6">
        <f>MEDIAN(D2:D38)</f>
        <v>67</v>
      </c>
      <c r="F45" s="6">
        <f>MEDIAN(F2:F38)</f>
        <v>82</v>
      </c>
      <c r="G45" s="6"/>
      <c r="H45" s="6">
        <f>MEDIAN(H2:H38)</f>
        <v>72</v>
      </c>
    </row>
    <row r="46" spans="1:16" ht="14" customHeight="1" x14ac:dyDescent="0.3">
      <c r="D46" s="6"/>
      <c r="F46" s="6"/>
      <c r="G46" s="6"/>
      <c r="H46" s="6"/>
    </row>
  </sheetData>
  <phoneticPr fontId="2" type="noConversion"/>
  <conditionalFormatting sqref="H45:H1048576 H1:H39">
    <cfRule type="cellIs" dxfId="14" priority="8" operator="greaterThan">
      <formula>89.9</formula>
    </cfRule>
  </conditionalFormatting>
  <conditionalFormatting sqref="I47:I1048576 I1:I40">
    <cfRule type="top10" dxfId="13" priority="4" rank="5"/>
    <cfRule type="top10" dxfId="12" priority="7" bottom="1" rank="10"/>
  </conditionalFormatting>
  <conditionalFormatting sqref="H1:H38">
    <cfRule type="cellIs" dxfId="11" priority="6" operator="lessThan">
      <formula>60</formula>
    </cfRule>
  </conditionalFormatting>
  <conditionalFormatting sqref="F47:G1048576 F1:G39">
    <cfRule type="top10" dxfId="10" priority="3" bottom="1" rank="5"/>
    <cfRule type="top10" dxfId="9" priority="5" rank="10"/>
  </conditionalFormatting>
  <conditionalFormatting sqref="D2:D38">
    <cfRule type="top10" dxfId="8" priority="1" rank="10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1E50E8-E547-4390-A5B2-2C6F63B76D50}">
  <sheetPr>
    <tabColor rgb="FF00B0F0"/>
  </sheetPr>
  <dimension ref="A1:N62"/>
  <sheetViews>
    <sheetView tabSelected="1" zoomScale="90" zoomScaleNormal="90" workbookViewId="0">
      <pane ySplit="1" topLeftCell="A2" activePane="bottomLeft" state="frozen"/>
      <selection pane="bottomLeft" activeCell="E12" sqref="E12"/>
    </sheetView>
  </sheetViews>
  <sheetFormatPr defaultRowHeight="14" x14ac:dyDescent="0.3"/>
  <cols>
    <col min="4" max="4" width="7.58203125" customWidth="1"/>
    <col min="8" max="8" width="8.4140625" customWidth="1"/>
  </cols>
  <sheetData>
    <row r="1" spans="1:14" x14ac:dyDescent="0.3">
      <c r="A1" t="s">
        <v>10</v>
      </c>
      <c r="B1" t="s">
        <v>0</v>
      </c>
      <c r="C1" t="s">
        <v>1</v>
      </c>
      <c r="D1" t="s">
        <v>11</v>
      </c>
      <c r="E1" t="s">
        <v>12</v>
      </c>
      <c r="F1" s="1" t="s">
        <v>13</v>
      </c>
      <c r="G1" s="1" t="s">
        <v>21</v>
      </c>
      <c r="H1" t="s">
        <v>14</v>
      </c>
      <c r="I1" t="s">
        <v>9</v>
      </c>
      <c r="M1" s="1" t="s">
        <v>15</v>
      </c>
      <c r="N1" s="5">
        <f>SUM(N2:N5)</f>
        <v>1</v>
      </c>
    </row>
    <row r="2" spans="1:14" x14ac:dyDescent="0.3">
      <c r="A2">
        <v>1</v>
      </c>
      <c r="B2" s="3" t="s">
        <v>32</v>
      </c>
      <c r="C2" s="4" t="s">
        <v>37</v>
      </c>
      <c r="D2" s="6">
        <f>总成绩!D2*D$50/(总成绩!D2*D$51+D$52)</f>
        <v>92.914979757085021</v>
      </c>
      <c r="E2" s="6">
        <f>总成绩!E2</f>
        <v>100</v>
      </c>
      <c r="F2" s="6">
        <f>总成绩!F2</f>
        <v>90</v>
      </c>
      <c r="G2" s="6">
        <f>总成绩!G2</f>
        <v>88</v>
      </c>
      <c r="H2" s="6">
        <f t="shared" ref="H2:H38" si="0">ROUND(D2*VLOOKUP($D$1,$M$2:$N$5,2,FALSE)+E2*VLOOKUP($E$1,$M$2:$N$5,2,FALSE)+F2*VLOOKUP($F$1,$M$2:$N$5,2,FALSE)+G2*VLOOKUP($G$1,$M$2:$N$5,2,FALSE),0)</f>
        <v>92</v>
      </c>
      <c r="I2">
        <f t="shared" ref="I2:I38" si="1">_xlfn.RANK.EQ(H2,H$2:H$38)</f>
        <v>2</v>
      </c>
      <c r="J2" t="s">
        <v>16</v>
      </c>
      <c r="K2">
        <f>COUNTIF(H$2:H$38,"&gt;=90")</f>
        <v>12</v>
      </c>
      <c r="M2" s="1" t="s">
        <v>11</v>
      </c>
      <c r="N2" s="5">
        <v>0.67</v>
      </c>
    </row>
    <row r="3" spans="1:14" x14ac:dyDescent="0.3">
      <c r="A3">
        <v>2</v>
      </c>
      <c r="B3" s="3" t="s">
        <v>33</v>
      </c>
      <c r="C3" s="4" t="s">
        <v>38</v>
      </c>
      <c r="D3" s="6">
        <f>总成绩!D3*D$50/(总成绩!D3*D$51+D$52)</f>
        <v>93.735177865612641</v>
      </c>
      <c r="E3" s="6">
        <f>总成绩!E3</f>
        <v>100</v>
      </c>
      <c r="F3" s="6">
        <f>总成绩!F3</f>
        <v>95</v>
      </c>
      <c r="G3" s="6">
        <f>总成绩!G3</f>
        <v>95</v>
      </c>
      <c r="H3" s="6">
        <f t="shared" si="0"/>
        <v>94</v>
      </c>
      <c r="I3">
        <f t="shared" si="1"/>
        <v>1</v>
      </c>
      <c r="J3" t="s">
        <v>17</v>
      </c>
      <c r="K3" s="6">
        <f>COUNTIF(H$2:H$38,"&gt;=80")-K2</f>
        <v>11</v>
      </c>
      <c r="M3" s="1" t="s">
        <v>12</v>
      </c>
      <c r="N3" s="5">
        <v>0.05</v>
      </c>
    </row>
    <row r="4" spans="1:14" x14ac:dyDescent="0.3">
      <c r="A4">
        <v>3</v>
      </c>
      <c r="B4" s="3" t="s">
        <v>33</v>
      </c>
      <c r="C4" s="4" t="s">
        <v>39</v>
      </c>
      <c r="D4" s="6">
        <f>总成绩!D4*D$50/(总成绩!D4*D$51+D$52)</f>
        <v>92.053941908713696</v>
      </c>
      <c r="E4" s="6">
        <f>总成绩!E4</f>
        <v>100</v>
      </c>
      <c r="F4" s="6">
        <f>总成绩!F4</f>
        <v>80</v>
      </c>
      <c r="G4" s="6">
        <f>总成绩!G4</f>
        <v>70</v>
      </c>
      <c r="H4" s="6">
        <f t="shared" si="0"/>
        <v>89</v>
      </c>
      <c r="I4">
        <f t="shared" si="1"/>
        <v>13</v>
      </c>
      <c r="J4" t="s">
        <v>18</v>
      </c>
      <c r="K4" s="6">
        <f>COUNTIF(H$2:H$38,"&gt;=70")-K3-K2</f>
        <v>7</v>
      </c>
      <c r="M4" s="1" t="s">
        <v>13</v>
      </c>
      <c r="N4" s="5">
        <v>0.25</v>
      </c>
    </row>
    <row r="5" spans="1:14" s="7" customFormat="1" x14ac:dyDescent="0.3">
      <c r="A5" s="7">
        <v>4</v>
      </c>
      <c r="B5" s="3" t="s">
        <v>33</v>
      </c>
      <c r="C5" s="4" t="s">
        <v>37</v>
      </c>
      <c r="D5" s="6">
        <f>ROUND(总成绩!D5*D$50/(总成绩!D5*D$51+D$52),0)</f>
        <v>91</v>
      </c>
      <c r="E5" s="6">
        <f>总成绩!E5</f>
        <v>100</v>
      </c>
      <c r="F5" s="6">
        <f>总成绩!F5</f>
        <v>80</v>
      </c>
      <c r="G5" s="6">
        <f>总成绩!G5</f>
        <v>65</v>
      </c>
      <c r="H5" s="6">
        <f t="shared" si="0"/>
        <v>88</v>
      </c>
      <c r="I5">
        <f t="shared" si="1"/>
        <v>14</v>
      </c>
      <c r="J5" s="7" t="s">
        <v>19</v>
      </c>
      <c r="K5" s="8">
        <f>COUNTIF(H$2:H$38,"&gt;=60")-SUM(K2:K4)</f>
        <v>3</v>
      </c>
      <c r="M5" s="1" t="s">
        <v>21</v>
      </c>
      <c r="N5" s="5">
        <v>0.03</v>
      </c>
    </row>
    <row r="6" spans="1:14" x14ac:dyDescent="0.3">
      <c r="A6">
        <v>5</v>
      </c>
      <c r="B6" s="3" t="s">
        <v>33</v>
      </c>
      <c r="C6" s="4" t="s">
        <v>40</v>
      </c>
      <c r="D6" s="6">
        <f>总成绩!D6*D$50/(总成绩!D6*D$51+D$52)</f>
        <v>85.418719211822676</v>
      </c>
      <c r="E6" s="6">
        <f>总成绩!E6</f>
        <v>100</v>
      </c>
      <c r="F6" s="6">
        <f>总成绩!F6</f>
        <v>82</v>
      </c>
      <c r="G6" s="6">
        <f>总成绩!G6</f>
        <v>70</v>
      </c>
      <c r="H6" s="6">
        <f t="shared" si="0"/>
        <v>85</v>
      </c>
      <c r="I6">
        <f t="shared" si="1"/>
        <v>19</v>
      </c>
      <c r="J6" t="s">
        <v>20</v>
      </c>
      <c r="K6">
        <f>COUNTIF(H$2:H$38,"&lt;60")</f>
        <v>4</v>
      </c>
    </row>
    <row r="7" spans="1:14" x14ac:dyDescent="0.3">
      <c r="A7">
        <v>6</v>
      </c>
      <c r="B7" s="3" t="s">
        <v>33</v>
      </c>
      <c r="C7" s="4" t="s">
        <v>38</v>
      </c>
      <c r="D7" s="6">
        <f>ROUND(总成绩!D7*D$50/(总成绩!D7*D$51+D$52),0)</f>
        <v>90</v>
      </c>
      <c r="E7" s="6">
        <f>总成绩!E7</f>
        <v>100</v>
      </c>
      <c r="F7" s="6">
        <f>总成绩!F7</f>
        <v>93</v>
      </c>
      <c r="G7" s="6">
        <f>总成绩!G7</f>
        <v>95</v>
      </c>
      <c r="H7" s="6">
        <f t="shared" si="0"/>
        <v>91</v>
      </c>
      <c r="I7">
        <f t="shared" si="1"/>
        <v>7</v>
      </c>
    </row>
    <row r="8" spans="1:14" x14ac:dyDescent="0.3">
      <c r="A8">
        <v>7</v>
      </c>
      <c r="B8" s="3" t="s">
        <v>33</v>
      </c>
      <c r="C8" s="4" t="s">
        <v>41</v>
      </c>
      <c r="D8" s="6">
        <f>总成绩!D8*D$50/(总成绩!D8*D$51+D$52)</f>
        <v>94</v>
      </c>
      <c r="E8" s="6">
        <f>总成绩!E8</f>
        <v>100</v>
      </c>
      <c r="F8" s="6">
        <f>总成绩!F8</f>
        <v>85</v>
      </c>
      <c r="G8" s="6">
        <f>总成绩!G8</f>
        <v>85</v>
      </c>
      <c r="H8" s="6">
        <f t="shared" si="0"/>
        <v>92</v>
      </c>
      <c r="I8">
        <f t="shared" si="1"/>
        <v>2</v>
      </c>
    </row>
    <row r="9" spans="1:14" x14ac:dyDescent="0.3">
      <c r="A9">
        <v>8</v>
      </c>
      <c r="B9" s="3" t="s">
        <v>33</v>
      </c>
      <c r="C9" s="4" t="s">
        <v>42</v>
      </c>
      <c r="D9" s="6">
        <f>ROUND(总成绩!D9*D$50/(总成绩!D9*D$51+D$52),0)</f>
        <v>92</v>
      </c>
      <c r="E9" s="6">
        <f>总成绩!E9</f>
        <v>100</v>
      </c>
      <c r="F9" s="6">
        <f>总成绩!F9</f>
        <v>86</v>
      </c>
      <c r="G9" s="6">
        <f>总成绩!G9</f>
        <v>82</v>
      </c>
      <c r="H9" s="6">
        <f t="shared" si="0"/>
        <v>91</v>
      </c>
      <c r="I9">
        <f t="shared" si="1"/>
        <v>7</v>
      </c>
    </row>
    <row r="10" spans="1:14" s="15" customFormat="1" x14ac:dyDescent="0.3">
      <c r="A10" s="15">
        <v>9</v>
      </c>
      <c r="B10" s="16" t="s">
        <v>33</v>
      </c>
      <c r="C10" s="17" t="s">
        <v>37</v>
      </c>
      <c r="D10" s="18">
        <f>总成绩!D10*D$50/(总成绩!D10*D$51+D$52)</f>
        <v>0</v>
      </c>
      <c r="E10" s="6">
        <f>总成绩!E10</f>
        <v>50</v>
      </c>
      <c r="F10" s="6">
        <f>总成绩!F10</f>
        <v>70</v>
      </c>
      <c r="G10" s="6">
        <f>总成绩!G10</f>
        <v>0</v>
      </c>
      <c r="H10" s="18">
        <f t="shared" si="0"/>
        <v>20</v>
      </c>
      <c r="I10" s="15">
        <f t="shared" si="1"/>
        <v>36</v>
      </c>
    </row>
    <row r="11" spans="1:14" x14ac:dyDescent="0.3">
      <c r="A11">
        <v>10</v>
      </c>
      <c r="B11" s="3" t="s">
        <v>33</v>
      </c>
      <c r="C11" s="4" t="s">
        <v>40</v>
      </c>
      <c r="D11" s="6">
        <f>总成绩!D11*D$50/(总成绩!D11*D$51+D$52)</f>
        <v>87.014218009478682</v>
      </c>
      <c r="E11" s="6">
        <f>总成绩!E11</f>
        <v>100</v>
      </c>
      <c r="F11" s="6">
        <f>总成绩!F11</f>
        <v>81</v>
      </c>
      <c r="G11" s="6">
        <f>总成绩!G11</f>
        <v>75</v>
      </c>
      <c r="H11" s="6">
        <f t="shared" si="0"/>
        <v>86</v>
      </c>
      <c r="I11">
        <f t="shared" si="1"/>
        <v>17</v>
      </c>
    </row>
    <row r="12" spans="1:14" x14ac:dyDescent="0.3">
      <c r="A12">
        <v>11</v>
      </c>
      <c r="B12" s="3" t="s">
        <v>33</v>
      </c>
      <c r="C12" s="4" t="s">
        <v>40</v>
      </c>
      <c r="D12" s="6">
        <f>总成绩!D12*D$50/(总成绩!D12*D$51+D$52)</f>
        <v>83.692307692307708</v>
      </c>
      <c r="E12" s="6">
        <f>总成绩!E12</f>
        <v>100</v>
      </c>
      <c r="F12" s="6">
        <f>总成绩!F12</f>
        <v>88</v>
      </c>
      <c r="G12" s="6">
        <f>总成绩!G12</f>
        <v>80</v>
      </c>
      <c r="H12" s="6">
        <f t="shared" si="0"/>
        <v>85</v>
      </c>
      <c r="I12">
        <f t="shared" si="1"/>
        <v>19</v>
      </c>
    </row>
    <row r="13" spans="1:14" s="15" customFormat="1" x14ac:dyDescent="0.3">
      <c r="A13" s="15">
        <v>12</v>
      </c>
      <c r="B13" s="16" t="s">
        <v>33</v>
      </c>
      <c r="C13" s="17" t="s">
        <v>43</v>
      </c>
      <c r="D13" s="18">
        <f>总成绩!D13*D$50/(总成绩!D13*D$51+D$52)</f>
        <v>81.324324324324337</v>
      </c>
      <c r="E13" s="6">
        <f>总成绩!E13</f>
        <v>100</v>
      </c>
      <c r="F13" s="6">
        <f>总成绩!F13</f>
        <v>60</v>
      </c>
      <c r="G13" s="6">
        <f>总成绩!G13</f>
        <v>65</v>
      </c>
      <c r="H13" s="18">
        <f t="shared" si="0"/>
        <v>76</v>
      </c>
      <c r="I13" s="15">
        <f t="shared" si="1"/>
        <v>28</v>
      </c>
    </row>
    <row r="14" spans="1:14" x14ac:dyDescent="0.3">
      <c r="A14">
        <v>13</v>
      </c>
      <c r="B14" s="3" t="s">
        <v>33</v>
      </c>
      <c r="C14" s="4" t="s">
        <v>44</v>
      </c>
      <c r="D14" s="6">
        <f>ROUND(总成绩!D14*D$50/(总成绩!D14*D$51+D$52),0)</f>
        <v>93</v>
      </c>
      <c r="E14" s="6">
        <f>总成绩!E14</f>
        <v>100</v>
      </c>
      <c r="F14" s="6">
        <f>总成绩!F14</f>
        <v>88</v>
      </c>
      <c r="G14" s="6">
        <f>总成绩!G14</f>
        <v>95</v>
      </c>
      <c r="H14" s="6">
        <f t="shared" si="0"/>
        <v>92</v>
      </c>
      <c r="I14">
        <f t="shared" si="1"/>
        <v>2</v>
      </c>
    </row>
    <row r="15" spans="1:14" x14ac:dyDescent="0.3">
      <c r="A15">
        <v>14</v>
      </c>
      <c r="B15" s="3" t="s">
        <v>33</v>
      </c>
      <c r="C15" s="4" t="s">
        <v>45</v>
      </c>
      <c r="D15" s="6">
        <f>ROUND(总成绩!D15*D$50/(总成绩!D15*D$51+D$52),0)</f>
        <v>91</v>
      </c>
      <c r="E15" s="6">
        <f>总成绩!E15</f>
        <v>100</v>
      </c>
      <c r="F15" s="6">
        <f>总成绩!F15</f>
        <v>90</v>
      </c>
      <c r="G15" s="6">
        <f>总成绩!G15</f>
        <v>75</v>
      </c>
      <c r="H15" s="6">
        <f t="shared" si="0"/>
        <v>91</v>
      </c>
      <c r="I15">
        <f t="shared" si="1"/>
        <v>7</v>
      </c>
    </row>
    <row r="16" spans="1:14" x14ac:dyDescent="0.3">
      <c r="A16">
        <v>15</v>
      </c>
      <c r="B16" s="3" t="s">
        <v>33</v>
      </c>
      <c r="C16" s="4" t="s">
        <v>42</v>
      </c>
      <c r="D16" s="6">
        <f>总成绩!D16*D$50/(总成绩!D16*D$51+D$52)</f>
        <v>82.301587301587318</v>
      </c>
      <c r="E16" s="6">
        <f>总成绩!E16</f>
        <v>100</v>
      </c>
      <c r="F16" s="6">
        <f>总成绩!F16</f>
        <v>95</v>
      </c>
      <c r="G16" s="6">
        <f>总成绩!G16</f>
        <v>94</v>
      </c>
      <c r="H16" s="6">
        <f t="shared" si="0"/>
        <v>87</v>
      </c>
      <c r="I16">
        <f t="shared" si="1"/>
        <v>16</v>
      </c>
    </row>
    <row r="17" spans="1:9" x14ac:dyDescent="0.3">
      <c r="A17">
        <v>16</v>
      </c>
      <c r="B17" s="3" t="s">
        <v>33</v>
      </c>
      <c r="C17" s="4" t="s">
        <v>41</v>
      </c>
      <c r="D17" s="6">
        <f>总成绩!D17*D$50/(总成绩!D17*D$51+D$52)</f>
        <v>63.270676691729335</v>
      </c>
      <c r="E17" s="6">
        <f>总成绩!E17</f>
        <v>50</v>
      </c>
      <c r="F17" s="6">
        <f>总成绩!F17</f>
        <v>74</v>
      </c>
      <c r="G17" s="6">
        <f>总成绩!G17</f>
        <v>70</v>
      </c>
      <c r="H17" s="6">
        <f t="shared" si="0"/>
        <v>65</v>
      </c>
      <c r="I17">
        <f t="shared" si="1"/>
        <v>32</v>
      </c>
    </row>
    <row r="18" spans="1:9" x14ac:dyDescent="0.3">
      <c r="A18">
        <v>17</v>
      </c>
      <c r="B18" s="3" t="s">
        <v>33</v>
      </c>
      <c r="C18" s="4" t="s">
        <v>46</v>
      </c>
      <c r="D18" s="6">
        <f>总成绩!D18*D$50/(总成绩!D18*D$51+D$52)</f>
        <v>90.836909871244629</v>
      </c>
      <c r="E18" s="6">
        <f>总成绩!E18</f>
        <v>100</v>
      </c>
      <c r="F18" s="6">
        <f>总成绩!F18</f>
        <v>90</v>
      </c>
      <c r="G18" s="6">
        <f>总成绩!G18</f>
        <v>85</v>
      </c>
      <c r="H18" s="6">
        <f t="shared" si="0"/>
        <v>91</v>
      </c>
      <c r="I18">
        <f t="shared" si="1"/>
        <v>7</v>
      </c>
    </row>
    <row r="19" spans="1:9" x14ac:dyDescent="0.3">
      <c r="A19">
        <v>18</v>
      </c>
      <c r="B19" s="3" t="s">
        <v>33</v>
      </c>
      <c r="C19" s="4" t="s">
        <v>47</v>
      </c>
      <c r="D19" s="6">
        <f>总成绩!D19*D$50/(总成绩!D19*D$51+D$52)</f>
        <v>73.089171974522301</v>
      </c>
      <c r="E19" s="6">
        <f>总成绩!E19</f>
        <v>50</v>
      </c>
      <c r="F19" s="6">
        <f>总成绩!F19</f>
        <v>74</v>
      </c>
      <c r="G19" s="6">
        <f>总成绩!G19</f>
        <v>0</v>
      </c>
      <c r="H19" s="6">
        <f t="shared" si="0"/>
        <v>70</v>
      </c>
      <c r="I19">
        <f t="shared" si="1"/>
        <v>29</v>
      </c>
    </row>
    <row r="20" spans="1:9" x14ac:dyDescent="0.3">
      <c r="A20">
        <v>19</v>
      </c>
      <c r="B20" s="3" t="s">
        <v>33</v>
      </c>
      <c r="C20" s="4" t="s">
        <v>47</v>
      </c>
      <c r="D20" s="6">
        <f>总成绩!D20*D$50/(总成绩!D20*D$51+D$52)</f>
        <v>92.053941908713696</v>
      </c>
      <c r="E20" s="6">
        <f>总成绩!E20</f>
        <v>100</v>
      </c>
      <c r="F20" s="6">
        <f>总成绩!F20</f>
        <v>85</v>
      </c>
      <c r="G20" s="6">
        <f>总成绩!G20</f>
        <v>85</v>
      </c>
      <c r="H20" s="6">
        <f t="shared" si="0"/>
        <v>90</v>
      </c>
      <c r="I20">
        <f t="shared" si="1"/>
        <v>11</v>
      </c>
    </row>
    <row r="21" spans="1:9" x14ac:dyDescent="0.3">
      <c r="A21">
        <v>20</v>
      </c>
      <c r="B21" s="3" t="s">
        <v>33</v>
      </c>
      <c r="C21" s="4" t="s">
        <v>39</v>
      </c>
      <c r="D21" s="6">
        <f>总成绩!D21*D$50/(总成绩!D21*D$51+D$52)</f>
        <v>62.290076335877878</v>
      </c>
      <c r="E21" s="6">
        <f>总成绩!E21</f>
        <v>50</v>
      </c>
      <c r="F21" s="6">
        <f>总成绩!F21</f>
        <v>60</v>
      </c>
      <c r="G21" s="6">
        <f>总成绩!G21</f>
        <v>0</v>
      </c>
      <c r="H21" s="6">
        <f t="shared" si="0"/>
        <v>59</v>
      </c>
      <c r="I21">
        <f t="shared" si="1"/>
        <v>34</v>
      </c>
    </row>
    <row r="22" spans="1:9" x14ac:dyDescent="0.3">
      <c r="A22">
        <v>21</v>
      </c>
      <c r="B22" s="3" t="s">
        <v>33</v>
      </c>
      <c r="C22" s="4" t="s">
        <v>47</v>
      </c>
      <c r="D22" s="6">
        <f>总成绩!D22*D$50/(总成绩!D22*D$51+D$52)</f>
        <v>84.572864321608051</v>
      </c>
      <c r="E22" s="6">
        <f>总成绩!E22</f>
        <v>100</v>
      </c>
      <c r="F22" s="6">
        <f>总成绩!F22</f>
        <v>82</v>
      </c>
      <c r="G22" s="6">
        <f>总成绩!G22</f>
        <v>82</v>
      </c>
      <c r="H22" s="6">
        <f t="shared" si="0"/>
        <v>85</v>
      </c>
      <c r="I22">
        <f t="shared" si="1"/>
        <v>19</v>
      </c>
    </row>
    <row r="23" spans="1:9" x14ac:dyDescent="0.3">
      <c r="A23">
        <v>22</v>
      </c>
      <c r="B23" s="3" t="s">
        <v>33</v>
      </c>
      <c r="C23" s="4" t="s">
        <v>48</v>
      </c>
      <c r="D23" s="6">
        <f>总成绩!D23*D$50/(总成绩!D23*D$51+D$52)</f>
        <v>58.048780487804891</v>
      </c>
      <c r="E23" s="6">
        <f>总成绩!E23</f>
        <v>0</v>
      </c>
      <c r="F23" s="6">
        <f>总成绩!F23</f>
        <v>70</v>
      </c>
      <c r="G23" s="6">
        <f>总成绩!G23</f>
        <v>0</v>
      </c>
      <c r="H23" s="6">
        <f t="shared" si="0"/>
        <v>56</v>
      </c>
      <c r="I23">
        <f t="shared" si="1"/>
        <v>35</v>
      </c>
    </row>
    <row r="24" spans="1:9" x14ac:dyDescent="0.3">
      <c r="A24">
        <v>23</v>
      </c>
      <c r="B24" s="3" t="s">
        <v>33</v>
      </c>
      <c r="C24" s="4" t="s">
        <v>40</v>
      </c>
      <c r="D24" s="6">
        <f>总成绩!D24*D$50/(总成绩!D24*D$51+D$52)</f>
        <v>91.757322175732213</v>
      </c>
      <c r="E24" s="6">
        <f>总成绩!E24</f>
        <v>100</v>
      </c>
      <c r="F24" s="6">
        <f>总成绩!F24</f>
        <v>91</v>
      </c>
      <c r="G24" s="6">
        <f>总成绩!G24</f>
        <v>80</v>
      </c>
      <c r="H24" s="6">
        <f t="shared" si="0"/>
        <v>92</v>
      </c>
      <c r="I24">
        <f t="shared" si="1"/>
        <v>2</v>
      </c>
    </row>
    <row r="25" spans="1:9" s="15" customFormat="1" x14ac:dyDescent="0.3">
      <c r="A25" s="15">
        <v>24</v>
      </c>
      <c r="B25" s="16" t="s">
        <v>33</v>
      </c>
      <c r="C25" s="17" t="s">
        <v>49</v>
      </c>
      <c r="D25" s="18">
        <f>总成绩!D25*D$50/(总成绩!D25*D$51+D$52)</f>
        <v>0</v>
      </c>
      <c r="E25" s="6">
        <f>总成绩!E25</f>
        <v>0</v>
      </c>
      <c r="F25" s="6">
        <f>总成绩!F25</f>
        <v>70</v>
      </c>
      <c r="G25" s="6">
        <f>总成绩!G25</f>
        <v>0</v>
      </c>
      <c r="H25" s="18">
        <f t="shared" si="0"/>
        <v>18</v>
      </c>
      <c r="I25" s="15">
        <f t="shared" si="1"/>
        <v>37</v>
      </c>
    </row>
    <row r="26" spans="1:9" x14ac:dyDescent="0.3">
      <c r="A26">
        <v>25</v>
      </c>
      <c r="B26" s="3" t="s">
        <v>33</v>
      </c>
      <c r="C26" s="4" t="s">
        <v>46</v>
      </c>
      <c r="D26" s="6">
        <f>ROUND(总成绩!D26*D$50/(总成绩!D26*D$51+D$52),0)</f>
        <v>81</v>
      </c>
      <c r="E26" s="6">
        <f>总成绩!E26</f>
        <v>100</v>
      </c>
      <c r="F26" s="6">
        <f>总成绩!F26</f>
        <v>65</v>
      </c>
      <c r="G26" s="6">
        <f>总成绩!G26</f>
        <v>65</v>
      </c>
      <c r="H26" s="6">
        <f t="shared" si="0"/>
        <v>77</v>
      </c>
      <c r="I26">
        <f t="shared" si="1"/>
        <v>26</v>
      </c>
    </row>
    <row r="27" spans="1:9" x14ac:dyDescent="0.3">
      <c r="A27">
        <v>26</v>
      </c>
      <c r="B27" s="3" t="s">
        <v>33</v>
      </c>
      <c r="C27" s="4" t="s">
        <v>47</v>
      </c>
      <c r="D27" s="6">
        <f>ROUND(总成绩!D27*D$50/(总成绩!D27*D$51+D$52),0)</f>
        <v>63</v>
      </c>
      <c r="E27" s="6">
        <f>总成绩!E27</f>
        <v>100</v>
      </c>
      <c r="F27" s="6">
        <f>总成绩!F27</f>
        <v>65</v>
      </c>
      <c r="G27" s="6">
        <f>总成绩!G27</f>
        <v>60</v>
      </c>
      <c r="H27" s="6">
        <f t="shared" si="0"/>
        <v>65</v>
      </c>
      <c r="I27">
        <f t="shared" si="1"/>
        <v>32</v>
      </c>
    </row>
    <row r="28" spans="1:9" x14ac:dyDescent="0.3">
      <c r="A28">
        <v>27</v>
      </c>
      <c r="B28" s="3" t="s">
        <v>33</v>
      </c>
      <c r="C28" s="4" t="s">
        <v>46</v>
      </c>
      <c r="D28" s="6">
        <f>总成绩!D28*D$50/(总成绩!D28*D$51+D$52)</f>
        <v>80.819672131147556</v>
      </c>
      <c r="E28" s="6">
        <f>总成绩!E28</f>
        <v>0</v>
      </c>
      <c r="F28" s="6">
        <f>总成绩!F28</f>
        <v>81</v>
      </c>
      <c r="G28" s="6">
        <f>总成绩!G28</f>
        <v>75</v>
      </c>
      <c r="H28" s="6">
        <f t="shared" si="0"/>
        <v>77</v>
      </c>
      <c r="I28">
        <f t="shared" si="1"/>
        <v>26</v>
      </c>
    </row>
    <row r="29" spans="1:9" x14ac:dyDescent="0.3">
      <c r="A29">
        <v>28</v>
      </c>
      <c r="B29" s="3" t="s">
        <v>33</v>
      </c>
      <c r="C29" s="4" t="s">
        <v>47</v>
      </c>
      <c r="D29" s="6">
        <f>ROUND(总成绩!D29*D$50/(总成绩!D29*D$51+D$52),0)</f>
        <v>84</v>
      </c>
      <c r="E29" s="6">
        <f>总成绩!E29</f>
        <v>100</v>
      </c>
      <c r="F29" s="6">
        <f>总成绩!F29</f>
        <v>82</v>
      </c>
      <c r="G29" s="6">
        <f>总成绩!G29</f>
        <v>70</v>
      </c>
      <c r="H29" s="6">
        <f t="shared" si="0"/>
        <v>84</v>
      </c>
      <c r="I29">
        <f t="shared" si="1"/>
        <v>22</v>
      </c>
    </row>
    <row r="30" spans="1:9" s="7" customFormat="1" x14ac:dyDescent="0.3">
      <c r="A30">
        <v>29</v>
      </c>
      <c r="B30" s="3" t="s">
        <v>33</v>
      </c>
      <c r="C30" s="4" t="s">
        <v>46</v>
      </c>
      <c r="D30" s="6">
        <f>总成绩!D30*D$50/(总成绩!D30*D$51+D$52)</f>
        <v>76.952662721893503</v>
      </c>
      <c r="E30" s="6">
        <f>总成绩!E30</f>
        <v>100</v>
      </c>
      <c r="F30" s="6">
        <f>总成绩!F30</f>
        <v>82</v>
      </c>
      <c r="G30" s="6">
        <f>总成绩!G30</f>
        <v>75</v>
      </c>
      <c r="H30" s="6">
        <f t="shared" si="0"/>
        <v>79</v>
      </c>
      <c r="I30">
        <f t="shared" si="1"/>
        <v>24</v>
      </c>
    </row>
    <row r="31" spans="1:9" x14ac:dyDescent="0.3">
      <c r="A31">
        <v>30</v>
      </c>
      <c r="B31" s="3" t="s">
        <v>33</v>
      </c>
      <c r="C31" s="4" t="s">
        <v>44</v>
      </c>
      <c r="D31" s="6">
        <f>总成绩!D31*D$50/(总成绩!D31*D$51+D$52)</f>
        <v>66.914893617021292</v>
      </c>
      <c r="E31" s="6">
        <f>总成绩!E31</f>
        <v>50</v>
      </c>
      <c r="F31" s="6">
        <f>总成绩!F31</f>
        <v>85</v>
      </c>
      <c r="G31" s="6">
        <f>总成绩!G31</f>
        <v>0</v>
      </c>
      <c r="H31" s="6">
        <f t="shared" si="0"/>
        <v>69</v>
      </c>
      <c r="I31">
        <f t="shared" si="1"/>
        <v>31</v>
      </c>
    </row>
    <row r="32" spans="1:9" s="7" customFormat="1" x14ac:dyDescent="0.3">
      <c r="A32">
        <v>31</v>
      </c>
      <c r="B32" s="3" t="s">
        <v>33</v>
      </c>
      <c r="C32" s="4" t="s">
        <v>47</v>
      </c>
      <c r="D32" s="6">
        <f>总成绩!D32*D$50/(总成绩!D32*D$51+D$52)</f>
        <v>78.121387283236999</v>
      </c>
      <c r="E32" s="6">
        <f>总成绩!E32</f>
        <v>100</v>
      </c>
      <c r="F32" s="6">
        <f>总成绩!F32</f>
        <v>79</v>
      </c>
      <c r="G32" s="6">
        <f>总成绩!G32</f>
        <v>72</v>
      </c>
      <c r="H32" s="6">
        <f t="shared" si="0"/>
        <v>79</v>
      </c>
      <c r="I32">
        <f t="shared" si="1"/>
        <v>24</v>
      </c>
    </row>
    <row r="33" spans="1:9" x14ac:dyDescent="0.3">
      <c r="A33">
        <v>32</v>
      </c>
      <c r="B33" s="3" t="s">
        <v>33</v>
      </c>
      <c r="C33" s="4" t="s">
        <v>48</v>
      </c>
      <c r="D33" s="6">
        <f>ROUND(总成绩!D33*D$50/(总成绩!D33*D$51+D$52),0)</f>
        <v>85</v>
      </c>
      <c r="E33" s="6">
        <f>总成绩!E33</f>
        <v>100</v>
      </c>
      <c r="F33" s="6">
        <f>总成绩!F33</f>
        <v>77</v>
      </c>
      <c r="G33" s="6">
        <f>总成绩!G33</f>
        <v>70</v>
      </c>
      <c r="H33" s="6">
        <f t="shared" si="0"/>
        <v>83</v>
      </c>
      <c r="I33">
        <f t="shared" si="1"/>
        <v>23</v>
      </c>
    </row>
    <row r="34" spans="1:9" x14ac:dyDescent="0.3">
      <c r="A34">
        <v>33</v>
      </c>
      <c r="B34" s="3" t="s">
        <v>33</v>
      </c>
      <c r="C34" s="4" t="s">
        <v>40</v>
      </c>
      <c r="D34" s="6">
        <f>总成绩!D34*D$50/(总成绩!D34*D$51+D$52)</f>
        <v>92.053941908713696</v>
      </c>
      <c r="E34" s="6">
        <f>总成绩!E34</f>
        <v>100</v>
      </c>
      <c r="F34" s="6">
        <f>总成绩!F34</f>
        <v>78</v>
      </c>
      <c r="G34" s="6">
        <f>总成绩!G34</f>
        <v>75</v>
      </c>
      <c r="H34" s="6">
        <f t="shared" si="0"/>
        <v>88</v>
      </c>
      <c r="I34">
        <f t="shared" si="1"/>
        <v>14</v>
      </c>
    </row>
    <row r="35" spans="1:9" x14ac:dyDescent="0.3">
      <c r="A35">
        <v>34</v>
      </c>
      <c r="B35" s="3" t="s">
        <v>34</v>
      </c>
      <c r="C35" s="4" t="s">
        <v>50</v>
      </c>
      <c r="D35" s="6">
        <f>总成绩!D35*D$50/(总成绩!D35*D$51+D$52)</f>
        <v>86.23188405797103</v>
      </c>
      <c r="E35" s="6">
        <f>总成绩!E35</f>
        <v>100</v>
      </c>
      <c r="F35" s="6">
        <f>总成绩!F35</f>
        <v>85</v>
      </c>
      <c r="G35" s="6">
        <f>总成绩!G35</f>
        <v>65</v>
      </c>
      <c r="H35" s="6">
        <f t="shared" si="0"/>
        <v>86</v>
      </c>
      <c r="I35">
        <f t="shared" si="1"/>
        <v>17</v>
      </c>
    </row>
    <row r="36" spans="1:9" x14ac:dyDescent="0.3">
      <c r="A36">
        <v>35</v>
      </c>
      <c r="B36" s="3" t="s">
        <v>35</v>
      </c>
      <c r="C36" s="4" t="s">
        <v>51</v>
      </c>
      <c r="D36" s="6">
        <f>ROUND(总成绩!D36*D$50/(总成绩!D36*D$51+D$52),0)</f>
        <v>92</v>
      </c>
      <c r="E36" s="6">
        <f>总成绩!E36</f>
        <v>100</v>
      </c>
      <c r="F36" s="6">
        <f>总成绩!F36</f>
        <v>85</v>
      </c>
      <c r="G36" s="6">
        <f>总成绩!G36</f>
        <v>85</v>
      </c>
      <c r="H36" s="6">
        <f t="shared" si="0"/>
        <v>90</v>
      </c>
      <c r="I36">
        <f t="shared" si="1"/>
        <v>11</v>
      </c>
    </row>
    <row r="37" spans="1:9" s="7" customFormat="1" x14ac:dyDescent="0.3">
      <c r="A37">
        <v>36</v>
      </c>
      <c r="B37" s="3" t="s">
        <v>36</v>
      </c>
      <c r="C37" s="4" t="s">
        <v>40</v>
      </c>
      <c r="D37" s="6">
        <f>总成绩!D37*D$50/(总成绩!D37*D$51+D$52)</f>
        <v>92.053941908713696</v>
      </c>
      <c r="E37" s="6">
        <f>总成绩!E37</f>
        <v>100</v>
      </c>
      <c r="F37" s="6">
        <f>总成绩!F37</f>
        <v>90</v>
      </c>
      <c r="G37" s="6">
        <f>总成绩!G37</f>
        <v>90</v>
      </c>
      <c r="H37" s="6">
        <f t="shared" si="0"/>
        <v>92</v>
      </c>
      <c r="I37">
        <f t="shared" si="1"/>
        <v>2</v>
      </c>
    </row>
    <row r="38" spans="1:9" x14ac:dyDescent="0.3">
      <c r="A38">
        <v>37</v>
      </c>
      <c r="B38" s="3" t="s">
        <v>36</v>
      </c>
      <c r="C38" s="4" t="s">
        <v>39</v>
      </c>
      <c r="D38" s="6">
        <f>总成绩!D38*D$50/(总成绩!D38*D$51+D$52)</f>
        <v>67.762237762237774</v>
      </c>
      <c r="E38" s="6">
        <f>总成绩!E38</f>
        <v>100</v>
      </c>
      <c r="F38" s="6">
        <f>总成绩!F38</f>
        <v>70</v>
      </c>
      <c r="G38" s="6">
        <f>总成绩!G38</f>
        <v>70</v>
      </c>
      <c r="H38" s="6">
        <f t="shared" si="0"/>
        <v>70</v>
      </c>
      <c r="I38">
        <f t="shared" si="1"/>
        <v>29</v>
      </c>
    </row>
    <row r="40" spans="1:9" x14ac:dyDescent="0.3">
      <c r="A40" s="12" t="s">
        <v>31</v>
      </c>
      <c r="C40" t="s">
        <v>6</v>
      </c>
      <c r="D40" s="6">
        <f>总成绩!D40</f>
        <v>37</v>
      </c>
      <c r="E40" s="6"/>
      <c r="F40" s="6">
        <f>总成绩!F40</f>
        <v>37</v>
      </c>
      <c r="G40" s="6"/>
      <c r="H40" s="1">
        <f t="shared" ref="H40" si="2">COUNT(H2:H38)</f>
        <v>37</v>
      </c>
    </row>
    <row r="41" spans="1:9" x14ac:dyDescent="0.3">
      <c r="C41" t="s">
        <v>2</v>
      </c>
      <c r="D41" s="6">
        <f>总成绩!D41</f>
        <v>63.702702702702702</v>
      </c>
      <c r="E41" s="6"/>
      <c r="F41" s="6">
        <f>总成绩!F41</f>
        <v>80.621621621621628</v>
      </c>
      <c r="G41" s="6"/>
      <c r="H41" s="9">
        <f>AVERAGE(H2:H38)</f>
        <v>79.027027027027032</v>
      </c>
    </row>
    <row r="42" spans="1:9" x14ac:dyDescent="0.3">
      <c r="C42" t="s">
        <v>3</v>
      </c>
      <c r="D42" s="6">
        <f>总成绩!D42</f>
        <v>24.720999788302169</v>
      </c>
      <c r="E42" s="6"/>
      <c r="F42" s="6">
        <f>总成绩!F42</f>
        <v>9.2542213927785166</v>
      </c>
      <c r="G42" s="6"/>
      <c r="H42" s="14">
        <f>_xlfn.STDEV.P(H2:H38)</f>
        <v>17.447196764672984</v>
      </c>
    </row>
    <row r="43" spans="1:9" x14ac:dyDescent="0.3">
      <c r="C43" t="s">
        <v>4</v>
      </c>
      <c r="D43" s="6">
        <f>总成绩!D43</f>
        <v>0</v>
      </c>
      <c r="E43" s="6"/>
      <c r="F43" s="6">
        <f>总成绩!F43</f>
        <v>60</v>
      </c>
      <c r="G43" s="6"/>
      <c r="H43" s="14">
        <f t="shared" ref="H43" si="3">MIN(H2:H38)</f>
        <v>18</v>
      </c>
    </row>
    <row r="44" spans="1:9" x14ac:dyDescent="0.3">
      <c r="C44" t="s">
        <v>5</v>
      </c>
      <c r="D44" s="6">
        <f>总成绩!D44</f>
        <v>94</v>
      </c>
      <c r="E44" s="6"/>
      <c r="F44" s="6">
        <f>总成绩!F44</f>
        <v>95</v>
      </c>
      <c r="G44" s="6"/>
      <c r="H44" s="9">
        <f>MAX(H2:H38)</f>
        <v>94</v>
      </c>
    </row>
    <row r="45" spans="1:9" x14ac:dyDescent="0.3">
      <c r="C45" t="s">
        <v>7</v>
      </c>
      <c r="D45" s="6">
        <f>总成绩!D45</f>
        <v>67</v>
      </c>
      <c r="E45" s="6"/>
      <c r="F45" s="6">
        <f>总成绩!F45</f>
        <v>82</v>
      </c>
      <c r="G45" s="6"/>
      <c r="H45" s="9">
        <f>MEDIAN(H2:H38)</f>
        <v>85</v>
      </c>
    </row>
    <row r="48" spans="1:9" x14ac:dyDescent="0.3">
      <c r="C48" t="s">
        <v>22</v>
      </c>
      <c r="D48" s="10">
        <f>D44</f>
        <v>94</v>
      </c>
    </row>
    <row r="49" spans="2:4" x14ac:dyDescent="0.3">
      <c r="C49" t="s">
        <v>23</v>
      </c>
      <c r="D49" s="13">
        <v>85</v>
      </c>
    </row>
    <row r="50" spans="2:4" x14ac:dyDescent="0.3">
      <c r="B50" t="s">
        <v>24</v>
      </c>
      <c r="D50">
        <f>D49*(D44-D45)</f>
        <v>2295</v>
      </c>
    </row>
    <row r="51" spans="2:4" x14ac:dyDescent="0.3">
      <c r="B51" t="s">
        <v>25</v>
      </c>
      <c r="D51">
        <f>D49*D44/D48-D45</f>
        <v>18</v>
      </c>
    </row>
    <row r="52" spans="2:4" x14ac:dyDescent="0.3">
      <c r="B52" t="s">
        <v>26</v>
      </c>
      <c r="D52">
        <f>(1-D49/D48)*D44*D45</f>
        <v>602.99999999999977</v>
      </c>
    </row>
    <row r="56" spans="2:4" x14ac:dyDescent="0.3">
      <c r="B56" t="s">
        <v>27</v>
      </c>
    </row>
    <row r="57" spans="2:4" ht="15" x14ac:dyDescent="0.3">
      <c r="C57" s="11" t="s">
        <v>28</v>
      </c>
    </row>
    <row r="58" spans="2:4" ht="15" x14ac:dyDescent="0.3">
      <c r="C58" s="11"/>
    </row>
    <row r="59" spans="2:4" x14ac:dyDescent="0.3">
      <c r="B59" t="s">
        <v>29</v>
      </c>
    </row>
    <row r="60" spans="2:4" x14ac:dyDescent="0.3">
      <c r="C60" t="s">
        <v>7</v>
      </c>
      <c r="D60" s="6">
        <f>MEDIAN(D2:D38)</f>
        <v>85</v>
      </c>
    </row>
    <row r="61" spans="2:4" x14ac:dyDescent="0.3">
      <c r="C61" t="s">
        <v>2</v>
      </c>
      <c r="D61" s="6">
        <f>AVERAGE(D2:D38)</f>
        <v>78.683395168354068</v>
      </c>
    </row>
    <row r="62" spans="2:4" x14ac:dyDescent="0.3">
      <c r="C62" t="s">
        <v>5</v>
      </c>
      <c r="D62" s="6">
        <f>MAX(D2:D38)</f>
        <v>94</v>
      </c>
    </row>
  </sheetData>
  <phoneticPr fontId="2" type="noConversion"/>
  <conditionalFormatting sqref="H46:H1048576 H1:H39">
    <cfRule type="cellIs" dxfId="7" priority="8" operator="greaterThan">
      <formula>89.9</formula>
    </cfRule>
  </conditionalFormatting>
  <conditionalFormatting sqref="I1:I39 I44:I1048576">
    <cfRule type="top10" dxfId="6" priority="4" rank="5"/>
    <cfRule type="top10" dxfId="5" priority="7" bottom="1" rank="10"/>
  </conditionalFormatting>
  <conditionalFormatting sqref="H1:H38">
    <cfRule type="cellIs" dxfId="4" priority="6" operator="lessThan">
      <formula>60</formula>
    </cfRule>
  </conditionalFormatting>
  <conditionalFormatting sqref="F46:G1048576 F1:G39">
    <cfRule type="top10" dxfId="3" priority="3" bottom="1" rank="5"/>
    <cfRule type="top10" dxfId="2" priority="5" rank="10"/>
  </conditionalFormatting>
  <conditionalFormatting sqref="D2:D38">
    <cfRule type="top10" dxfId="1" priority="2" rank="10"/>
  </conditionalFormatting>
  <conditionalFormatting sqref="H45">
    <cfRule type="cellIs" dxfId="0" priority="1" operator="greaterThan">
      <formula>89.9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总成绩</vt:lpstr>
      <vt:lpstr>总成绩 -curved</vt:lpstr>
      <vt:lpstr>总成绩!Print_Area</vt:lpstr>
      <vt:lpstr>'总成绩 -curved'!Print_Area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wendong yang</dc:creator>
  <cp:lastModifiedBy>zsp</cp:lastModifiedBy>
  <cp:lastPrinted>2023-02-28T02:12:01Z</cp:lastPrinted>
  <dcterms:created xsi:type="dcterms:W3CDTF">2018-07-09T01:31:33Z</dcterms:created>
  <dcterms:modified xsi:type="dcterms:W3CDTF">2023-04-15T07:50:39Z</dcterms:modified>
</cp:coreProperties>
</file>